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2" windowHeight="8952" activeTab="0"/>
  </bookViews>
  <sheets>
    <sheet name="Méthodes" sheetId="1" r:id="rId1"/>
    <sheet name="BarèmesV1&amp;V2" sheetId="2" r:id="rId2"/>
    <sheet name="v1" sheetId="3" r:id="rId3"/>
    <sheet name="v2" sheetId="4" r:id="rId4"/>
    <sheet name="v0" sheetId="5" r:id="rId5"/>
  </sheets>
  <externalReferences>
    <externalReference r:id="rId8"/>
    <externalReference r:id="rId9"/>
    <externalReference r:id="rId10"/>
    <externalReference r:id="rId11"/>
    <externalReference r:id="rId12"/>
    <externalReference r:id="rId13"/>
  </externalReferences>
  <definedNames>
    <definedName name="B_SEULS_NOVIEUX">#REF!</definedName>
    <definedName name="column_head" localSheetId="1">#REF!</definedName>
    <definedName name="column_head">#REF!</definedName>
    <definedName name="column_headings">#REF!</definedName>
    <definedName name="column_numbers">#REF!</definedName>
    <definedName name="data">#REF!</definedName>
    <definedName name="data2">#REF!</definedName>
    <definedName name="ea_flux">#REF!</definedName>
    <definedName name="Equilibre">#REF!</definedName>
    <definedName name="fig4b">#REF!</definedName>
    <definedName name="footnotes">#REF!</definedName>
    <definedName name="footnotes2" localSheetId="1">#REF!</definedName>
    <definedName name="footnotes2">#REF!</definedName>
    <definedName name="PIB">#REF!</definedName>
    <definedName name="ressources">#REF!</definedName>
    <definedName name="rpflux">#REF!</definedName>
    <definedName name="rptof">#REF!</definedName>
    <definedName name="spanners_level1">#REF!</definedName>
    <definedName name="spanners_level2">#REF!</definedName>
    <definedName name="spanners_level3">#REF!</definedName>
    <definedName name="spanners_level4">#REF!</definedName>
    <definedName name="spanners_level5">#REF!</definedName>
    <definedName name="spanners_levelV" localSheetId="1">#REF!</definedName>
    <definedName name="spanners_levelV">#REF!</definedName>
    <definedName name="spanners_levelX" localSheetId="1">#REF!</definedName>
    <definedName name="spanners_levelX">#REF!</definedName>
    <definedName name="spanners_levelY" localSheetId="1">#REF!</definedName>
    <definedName name="spanners_levelY">#REF!</definedName>
    <definedName name="spanners_levelZ" localSheetId="1">#REF!</definedName>
    <definedName name="spanners_levelZ">#REF!</definedName>
    <definedName name="stub_lines">#REF!</definedName>
    <definedName name="temp">#REF!</definedName>
    <definedName name="titles">#REF!</definedName>
    <definedName name="totals">#REF!</definedName>
    <definedName name="xxx">#REF!</definedName>
    <definedName name="_xlnm.Print_Area" localSheetId="1">'BarèmesV1&amp;V2'!$B$1:$D$28</definedName>
  </definedNames>
  <calcPr fullCalcOnLoad="1"/>
</workbook>
</file>

<file path=xl/sharedStrings.xml><?xml version="1.0" encoding="utf-8"?>
<sst xmlns="http://schemas.openxmlformats.org/spreadsheetml/2006/main" count="217" uniqueCount="72">
  <si>
    <t>Salaire net</t>
  </si>
  <si>
    <t>Conjoint 1</t>
  </si>
  <si>
    <t>Conjoint 2</t>
  </si>
  <si>
    <t>Enfants</t>
  </si>
  <si>
    <t>privé &lt;PSS</t>
  </si>
  <si>
    <t>public</t>
  </si>
  <si>
    <t>non-deductible</t>
  </si>
  <si>
    <t>deductible</t>
  </si>
  <si>
    <t>Tx CSG-CRDS</t>
  </si>
  <si>
    <t>Tx CSS-CSG-CRDS</t>
  </si>
  <si>
    <t>privé &lt;4PSS</t>
  </si>
  <si>
    <t>Salaire net imposable</t>
  </si>
  <si>
    <t>Rev.imp./part</t>
  </si>
  <si>
    <t>Actuellemment</t>
  </si>
  <si>
    <t>Impôt total</t>
  </si>
  <si>
    <t>CSG</t>
  </si>
  <si>
    <t>IRPP</t>
  </si>
  <si>
    <t>PPE</t>
  </si>
  <si>
    <t>Réd.enfant</t>
  </si>
  <si>
    <t>Imp.conj1</t>
  </si>
  <si>
    <t>Imp.conj2</t>
  </si>
  <si>
    <t>Réd.enfants</t>
  </si>
  <si>
    <t>N. QF sans enf</t>
  </si>
  <si>
    <t>Après la réforme</t>
  </si>
  <si>
    <t>Plafond 10%</t>
  </si>
  <si>
    <t>Tx CSS appliqué</t>
  </si>
  <si>
    <t>Parent isolé</t>
  </si>
  <si>
    <t>N. QF avec enf</t>
  </si>
  <si>
    <t>IRPP bar avec enf</t>
  </si>
  <si>
    <t>IRPP bar sans enf</t>
  </si>
  <si>
    <t>Conjoint</t>
  </si>
  <si>
    <t>IRPP après plaf QF</t>
  </si>
  <si>
    <t>Plafond décote</t>
  </si>
  <si>
    <t>IRPP après plaf QF et décote</t>
  </si>
  <si>
    <t>Salaire brut mensuel</t>
  </si>
  <si>
    <t>Plafond QF par demi-part</t>
  </si>
  <si>
    <t>Barème IRPP</t>
  </si>
  <si>
    <t>Barème Impôt citoyen (v0)</t>
  </si>
  <si>
    <t>Gain (ou perte)</t>
  </si>
  <si>
    <t>(en % sal.brut.)</t>
  </si>
  <si>
    <t>Seuil PPE min</t>
  </si>
  <si>
    <t>Seuil PPE max</t>
  </si>
  <si>
    <t xml:space="preserve">Seuil PPE </t>
  </si>
  <si>
    <t>Taux PPE</t>
  </si>
  <si>
    <t>Taux retrait PPE</t>
  </si>
  <si>
    <t>PPE conj1</t>
  </si>
  <si>
    <t>PPE conj2</t>
  </si>
  <si>
    <t>Seuil PPE RFR</t>
  </si>
  <si>
    <t>Barème PPE</t>
  </si>
  <si>
    <t>Supp. PPE couple mono-emploi</t>
  </si>
  <si>
    <t>Supp. PP2 enfants</t>
  </si>
  <si>
    <t>Supp. PPE</t>
  </si>
  <si>
    <t>Seuil PPE RFR enf</t>
  </si>
  <si>
    <t>Seuil PPE couple</t>
  </si>
  <si>
    <t>Seuil PPE couple max</t>
  </si>
  <si>
    <t>Quotient conjugal</t>
  </si>
  <si>
    <t>QC parent isolé</t>
  </si>
  <si>
    <t>Version 2 (+14 milliards d'euros de rendement, maintien du quotient conjugal)</t>
  </si>
  <si>
    <t>Version 1 (+14 milliards d'euros de rendement, individualisation complète)</t>
  </si>
  <si>
    <t>qui introduirait de légères modifications dans les calculs (ce taux peut être modifié dans les formules).</t>
  </si>
  <si>
    <r>
      <t>Note</t>
    </r>
    <r>
      <rPr>
        <sz val="10"/>
        <rFont val="Arial"/>
        <family val="0"/>
      </rPr>
      <t xml:space="preserve">: un taux forfaitaire de 12,00% de cotisations sociales salariales a été appliqué (voir formules); en réalité, ce taux peut atteindre 13,83% dans le privé et 7,85% dans le public, ce </t>
    </r>
  </si>
  <si>
    <t xml:space="preserve">Attention: les simulations de cas types présentées ici sont des simulations simplifiées s'appliquant à des foyers ayant uniquement des revenus salariaux, et ne bénéficiant d'aucune niche particulière. </t>
  </si>
  <si>
    <t>Version 0 (aucun rendement supplémentaire, individualisation complète, voir Landais-Piketty-Saez 2011, www.revolution-fiscale.fr)</t>
  </si>
  <si>
    <t>(11-1-2012) (TP)</t>
  </si>
  <si>
    <t>Pour des simulations complètes prenant en compte tous les éléments de revenus (en particulier revenus de patrimoines) et de niches (réductions d'impôt, etc.), tels qu'ils figurent en moyenne dans les déclarations de revenus aux différents niveaux de revenus, voir www.revolution-fiscale.fr/simuler/</t>
  </si>
  <si>
    <t>Revenu brut mensuel individuel (V1)               ou conjugal (V2)         soumis à la CSG</t>
  </si>
  <si>
    <t>Taux effectif d'imposition à appliquer</t>
  </si>
  <si>
    <t>Version 1   (individualisation complète)</t>
  </si>
  <si>
    <t>Version 2                  (maintien du quotient conjugal)</t>
  </si>
  <si>
    <r>
      <t xml:space="preserve">Barème du nouvel impôt citoyen                                                                         </t>
    </r>
    <r>
      <rPr>
        <sz val="14"/>
        <color indexed="8"/>
        <rFont val="Arial"/>
        <family val="2"/>
      </rPr>
      <t>(barème fusionné IRPP-CSG)</t>
    </r>
  </si>
  <si>
    <r>
      <t>Note 1</t>
    </r>
    <r>
      <rPr>
        <sz val="11"/>
        <color indexed="8"/>
        <rFont val="Arial"/>
        <family val="2"/>
      </rPr>
      <t xml:space="preserve">: Ces barèmes sont exprimés en taux effectif directement applicable à la totalité du revenu, et non en taux marginal. Par exemple, dans le barème V1, le taux effectif est de 2% jusqu'à 1 100€ brut par mois, puis passe linérairement de 2% à 8% entre 1 100€ et 2 200€ brut par mois. Ces taux s'appliquent au </t>
    </r>
    <r>
      <rPr>
        <b/>
        <sz val="11"/>
        <color indexed="8"/>
        <rFont val="Arial"/>
        <family val="2"/>
      </rPr>
      <t xml:space="preserve">revenu brut individuel (V1) </t>
    </r>
    <r>
      <rPr>
        <sz val="11"/>
        <color indexed="8"/>
        <rFont val="Arial"/>
        <family val="2"/>
      </rPr>
      <t xml:space="preserve">actuellement soumis à la CSG (salaire, revenu d'activité non salarié, retraite, chômage, revenus du capital, y compris plus values); ou  au </t>
    </r>
    <r>
      <rPr>
        <b/>
        <sz val="11"/>
        <color indexed="8"/>
        <rFont val="Arial"/>
        <family val="2"/>
      </rPr>
      <t>revenu brut conjugal (V2)</t>
    </r>
    <r>
      <rPr>
        <sz val="11"/>
        <color indexed="8"/>
        <rFont val="Arial"/>
        <family val="2"/>
      </rPr>
      <t xml:space="preserve">, c'est-à-dire à la somme des revenus individuels des deux conjoints divisée par 2 pour les couples mariés ou pacsés; au revenu individuel pour les célibataires sans enfant; et au revenu individuel divisé par 1,5 pour les parents isolés. </t>
    </r>
    <r>
      <rPr>
        <b/>
        <sz val="11"/>
        <color indexed="8"/>
        <rFont val="Arial"/>
        <family val="2"/>
      </rPr>
      <t>Dans les deux cas (V1 et V2), chaque enfant ouvre droit à un crédit d'impôt remboursable égal à 750€ par an</t>
    </r>
    <r>
      <rPr>
        <sz val="11"/>
        <color indexed="8"/>
        <rFont val="Arial"/>
        <family val="2"/>
      </rPr>
      <t>. L'impôt peut être prélevé chaque mois à la source par l'employeur ou l'institution financière suivant ce barème. Le taux effectif à appliquer dépend du revenu annuel global finalement obtenu (correction pour en début d'année n+1 via la déclaration de revenus).</t>
    </r>
  </si>
  <si>
    <r>
      <t>Note 2</t>
    </r>
    <r>
      <rPr>
        <sz val="11"/>
        <color indexed="8"/>
        <rFont val="Arial"/>
        <family val="2"/>
      </rPr>
      <t xml:space="preserve">: Ces deux barèmes ont exactement le même rendement. Chacun permet de remplacer les recettes de l'actuel impôt sur le revenu (IRPP, avec tranches de taux marginaux allant de 5.5% à 41%), de la CSG pesant sur les différents revenus à 0%, 3,8%, 7.5% ou 8.2%, la CRDS à 0.5%, du prélèvement libératoire et de l'impôt proportionnel sur les plus-values à 18%, et de la prime pour l'emploi (PPE) (soit au total 147 milliards € de recettes nettes), et de dégager un </t>
    </r>
    <r>
      <rPr>
        <b/>
        <sz val="11"/>
        <color indexed="8"/>
        <rFont val="Arial"/>
        <family val="2"/>
      </rPr>
      <t>rendement supplémentaire de 14 milliards €</t>
    </r>
    <r>
      <rPr>
        <sz val="11"/>
        <color indexed="8"/>
        <rFont val="Arial"/>
        <family val="2"/>
      </rPr>
      <t>, ce qui permet par exemple de maintenir pour environ 12 milliards € de niches fiscales (crédits d'impôt emploi à domicile, équipements verts, etc.) et de revaloriser pour environ 2 milliards € les bas revenus de remplacement actuellement exonérés de CSG (l'autre possibilité étant d'abaisser à 0% le taux de 2%, pour un coût de 4 milliards €).</t>
    </r>
  </si>
</sst>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000000000%"/>
    <numFmt numFmtId="174" formatCode="0.000"/>
    <numFmt numFmtId="175" formatCode="0.0000"/>
    <numFmt numFmtId="176" formatCode="#,##0.0"/>
    <numFmt numFmtId="177" formatCode="#,##0\ &quot;€&quot;"/>
    <numFmt numFmtId="178" formatCode="#,##0.00\ &quot;€&quot;"/>
    <numFmt numFmtId="179" formatCode="#,##0.0\ &quot;€&quot;"/>
    <numFmt numFmtId="180" formatCode="0.0"/>
    <numFmt numFmtId="181" formatCode="\$#,##0\ ;\(\$#,##0\)"/>
    <numFmt numFmtId="182" formatCode="#,##0.000\ &quot;€&quot;"/>
    <numFmt numFmtId="183" formatCode="#,##0.0000\ &quot;€&quot;"/>
    <numFmt numFmtId="184" formatCode="#,##0.00000\ &quot;€&quot;"/>
    <numFmt numFmtId="185" formatCode="[$-40C]dddd\ d\ mmmm\ yyyy"/>
    <numFmt numFmtId="186" formatCode="&quot;Vrai&quot;;&quot;Vrai&quot;;&quot;Faux&quot;"/>
    <numFmt numFmtId="187" formatCode="&quot;Actif&quot;;&quot;Actif&quot;;&quot;Inactif&quot;"/>
    <numFmt numFmtId="188" formatCode="[$€-2]\ #,##0.00_);[Red]\([$€-2]\ #,##0.00\)"/>
    <numFmt numFmtId="189" formatCode="&quot;$&quot;#,##0"/>
    <numFmt numFmtId="190" formatCode="#,##0\ [$€-40C]"/>
    <numFmt numFmtId="191" formatCode="#,##0.0\ [$€-40C]"/>
    <numFmt numFmtId="192" formatCode="#,##0.00\ [$€-40C]"/>
    <numFmt numFmtId="193" formatCode="0.000%"/>
    <numFmt numFmtId="194" formatCode="0.0000000%"/>
    <numFmt numFmtId="195" formatCode="0.000000%"/>
    <numFmt numFmtId="196" formatCode="0.00000%"/>
    <numFmt numFmtId="197" formatCode="0.0000%"/>
    <numFmt numFmtId="198" formatCode="#,##0.000"/>
    <numFmt numFmtId="199" formatCode="#,##0.00000"/>
    <numFmt numFmtId="200" formatCode="#,##0.0000"/>
    <numFmt numFmtId="201" formatCode="#,##0.000000"/>
    <numFmt numFmtId="202" formatCode="#,##0.0000000"/>
    <numFmt numFmtId="203" formatCode="#,##0,\F\F"/>
    <numFmt numFmtId="204" formatCode="#,##0,,\F\F"/>
    <numFmt numFmtId="205" formatCode="#,##0,\F"/>
    <numFmt numFmtId="206" formatCode="0,\F"/>
    <numFmt numFmtId="207" formatCode="0.000000"/>
    <numFmt numFmtId="208" formatCode="0.00000"/>
    <numFmt numFmtId="209" formatCode="0.000000000000000%"/>
    <numFmt numFmtId="210" formatCode="0.00000000000%"/>
    <numFmt numFmtId="211" formatCode="#,##0\ [$€-1]"/>
    <numFmt numFmtId="212" formatCode="#,##0.00\ [$€-1]"/>
    <numFmt numFmtId="213" formatCode="#,##0.0000000000000\ &quot;€&quot;"/>
    <numFmt numFmtId="214" formatCode="#,##0.00\ _€"/>
    <numFmt numFmtId="215" formatCode="0.0E+00"/>
    <numFmt numFmtId="216" formatCode="0E+00"/>
    <numFmt numFmtId="217" formatCode="#,##0.0\ [$€-1]"/>
  </numFmts>
  <fonts count="35">
    <font>
      <sz val="10"/>
      <name val="Arial"/>
      <family val="0"/>
    </font>
    <font>
      <sz val="8"/>
      <name val="Arial"/>
      <family val="0"/>
    </font>
    <font>
      <b/>
      <sz val="10"/>
      <name val="Arial"/>
      <family val="2"/>
    </font>
    <font>
      <sz val="11"/>
      <color indexed="8"/>
      <name val="Calibri"/>
      <family val="2"/>
    </font>
    <font>
      <u val="single"/>
      <sz val="10"/>
      <color indexed="12"/>
      <name val="Arial"/>
      <family val="0"/>
    </font>
    <font>
      <u val="single"/>
      <sz val="10"/>
      <color indexed="36"/>
      <name val="Arial"/>
      <family val="0"/>
    </font>
    <font>
      <sz val="12"/>
      <color indexed="24"/>
      <name val="Arial"/>
      <family val="0"/>
    </font>
    <font>
      <b/>
      <sz val="8"/>
      <color indexed="24"/>
      <name val="Times New Roman"/>
      <family val="0"/>
    </font>
    <font>
      <sz val="8"/>
      <color indexed="24"/>
      <name val="Times New Roman"/>
      <family val="0"/>
    </font>
    <font>
      <sz val="7"/>
      <name val="Helvetica"/>
      <family val="0"/>
    </font>
    <font>
      <sz val="12"/>
      <name val="Arial"/>
      <family val="0"/>
    </font>
    <font>
      <sz val="12"/>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Unicode MS"/>
      <family val="2"/>
    </font>
    <font>
      <b/>
      <sz val="12"/>
      <name val="Arial"/>
      <family val="2"/>
    </font>
    <font>
      <sz val="8"/>
      <name val="Calibri"/>
      <family val="2"/>
    </font>
    <font>
      <sz val="14"/>
      <color indexed="8"/>
      <name val="Arial"/>
      <family val="2"/>
    </font>
    <font>
      <b/>
      <sz val="14"/>
      <color indexed="8"/>
      <name val="Arial"/>
      <family val="2"/>
    </font>
    <font>
      <sz val="11"/>
      <color indexed="8"/>
      <name val="Arial"/>
      <family val="2"/>
    </font>
    <font>
      <b/>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0" borderId="2" applyNumberFormat="0" applyFill="0" applyAlignment="0" applyProtection="0"/>
    <xf numFmtId="0" fontId="0" fillId="21" borderId="3" applyNumberFormat="0" applyFont="0" applyAlignment="0" applyProtection="0"/>
    <xf numFmtId="0"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6" fillId="7" borderId="1" applyNumberFormat="0" applyAlignment="0" applyProtection="0"/>
    <xf numFmtId="3" fontId="6" fillId="0" borderId="0" applyFont="0" applyFill="0" applyBorder="0" applyAlignment="0" applyProtection="0"/>
    <xf numFmtId="0" fontId="17" fillId="3"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6" fillId="0" borderId="0" applyFont="0" applyFill="0" applyBorder="0" applyAlignment="0" applyProtection="0"/>
    <xf numFmtId="0" fontId="18" fillId="22" borderId="0" applyNumberFormat="0" applyBorder="0" applyAlignment="0" applyProtection="0"/>
    <xf numFmtId="0" fontId="3" fillId="0" borderId="0">
      <alignment/>
      <protection/>
    </xf>
    <xf numFmtId="9" fontId="0" fillId="0" borderId="0" applyFont="0" applyFill="0" applyBorder="0" applyAlignment="0" applyProtection="0"/>
    <xf numFmtId="0" fontId="19" fillId="4" borderId="0" applyNumberFormat="0" applyBorder="0" applyAlignment="0" applyProtection="0"/>
    <xf numFmtId="0" fontId="20" fillId="20" borderId="4" applyNumberFormat="0" applyAlignment="0" applyProtection="0"/>
    <xf numFmtId="0" fontId="9" fillId="0" borderId="5">
      <alignment horizontal="center"/>
      <protection/>
    </xf>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23" borderId="10" applyNumberFormat="0" applyAlignment="0" applyProtection="0"/>
    <xf numFmtId="2" fontId="6" fillId="0" borderId="0" applyFont="0" applyFill="0" applyBorder="0" applyAlignment="0" applyProtection="0"/>
  </cellStyleXfs>
  <cellXfs count="38">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Alignment="1">
      <alignment horizontal="center"/>
    </xf>
    <xf numFmtId="0" fontId="10" fillId="0" borderId="0" xfId="0" applyFont="1" applyAlignment="1">
      <alignment/>
    </xf>
    <xf numFmtId="0" fontId="10" fillId="0" borderId="0" xfId="0" applyFont="1" applyAlignment="1">
      <alignment horizontal="center"/>
    </xf>
    <xf numFmtId="177" fontId="10" fillId="0" borderId="0" xfId="0" applyNumberFormat="1" applyFont="1" applyAlignment="1">
      <alignment horizontal="center"/>
    </xf>
    <xf numFmtId="180" fontId="10" fillId="0" borderId="0" xfId="0" applyNumberFormat="1" applyFont="1" applyAlignment="1">
      <alignment horizontal="center"/>
    </xf>
    <xf numFmtId="10" fontId="10" fillId="0" borderId="0" xfId="0" applyNumberFormat="1" applyFont="1" applyAlignment="1">
      <alignment horizontal="center"/>
    </xf>
    <xf numFmtId="177" fontId="11" fillId="0" borderId="0" xfId="57" applyNumberFormat="1" applyFont="1" applyBorder="1" applyAlignment="1">
      <alignment horizontal="center" vertical="center"/>
      <protection/>
    </xf>
    <xf numFmtId="9" fontId="11" fillId="0" borderId="0" xfId="57" applyNumberFormat="1" applyFont="1" applyBorder="1" applyAlignment="1">
      <alignment horizontal="center" vertical="center"/>
      <protection/>
    </xf>
    <xf numFmtId="172" fontId="10" fillId="0" borderId="0" xfId="0" applyNumberFormat="1" applyFont="1" applyAlignment="1">
      <alignment horizontal="center"/>
    </xf>
    <xf numFmtId="184" fontId="0" fillId="0" borderId="0" xfId="0" applyNumberFormat="1" applyAlignment="1">
      <alignment/>
    </xf>
    <xf numFmtId="0" fontId="10" fillId="0" borderId="0" xfId="0" applyFont="1" applyAlignment="1">
      <alignment/>
    </xf>
    <xf numFmtId="177" fontId="10" fillId="0" borderId="0" xfId="0" applyNumberFormat="1" applyFont="1" applyAlignment="1">
      <alignment horizontal="center"/>
    </xf>
    <xf numFmtId="0" fontId="10" fillId="0" borderId="0" xfId="0" applyFont="1" applyAlignment="1">
      <alignment horizontal="center"/>
    </xf>
    <xf numFmtId="0" fontId="28" fillId="0" borderId="0" xfId="0" applyFont="1" applyAlignment="1">
      <alignment/>
    </xf>
    <xf numFmtId="182" fontId="0" fillId="0" borderId="0" xfId="0" applyNumberFormat="1" applyAlignment="1">
      <alignment/>
    </xf>
    <xf numFmtId="0" fontId="29" fillId="0" borderId="0" xfId="0" applyFont="1" applyAlignment="1">
      <alignment/>
    </xf>
    <xf numFmtId="1" fontId="11" fillId="0" borderId="0" xfId="57" applyNumberFormat="1" applyFont="1" applyFill="1" applyBorder="1" applyAlignment="1">
      <alignment horizontal="center" vertical="center"/>
      <protection/>
    </xf>
    <xf numFmtId="0" fontId="10" fillId="0" borderId="0" xfId="0" applyFont="1" applyAlignment="1">
      <alignment horizontal="center" shrinkToFit="1"/>
    </xf>
    <xf numFmtId="0" fontId="10" fillId="0" borderId="0" xfId="0" applyFont="1" applyAlignment="1">
      <alignment horizontal="center" shrinkToFit="1"/>
    </xf>
    <xf numFmtId="0" fontId="10" fillId="0" borderId="0" xfId="0" applyFont="1" applyAlignment="1">
      <alignment horizontal="center"/>
    </xf>
    <xf numFmtId="0" fontId="3" fillId="0" borderId="11" xfId="57" applyBorder="1">
      <alignment/>
      <protection/>
    </xf>
    <xf numFmtId="0" fontId="3" fillId="0" borderId="0" xfId="57">
      <alignment/>
      <protection/>
    </xf>
    <xf numFmtId="0" fontId="32" fillId="0" borderId="12" xfId="57" applyFont="1" applyBorder="1" applyAlignment="1">
      <alignment horizontal="center" vertical="center" wrapText="1"/>
      <protection/>
    </xf>
    <xf numFmtId="0" fontId="32" fillId="0" borderId="0" xfId="57" applyFont="1" applyBorder="1" applyAlignment="1">
      <alignment horizontal="center" vertical="center" wrapText="1"/>
      <protection/>
    </xf>
    <xf numFmtId="0" fontId="32" fillId="0" borderId="13" xfId="57" applyFont="1" applyBorder="1" applyAlignment="1">
      <alignment horizontal="center" vertical="center" wrapText="1"/>
      <protection/>
    </xf>
    <xf numFmtId="0" fontId="0" fillId="0" borderId="13" xfId="0" applyBorder="1" applyAlignment="1">
      <alignment horizontal="center" vertical="center" wrapText="1"/>
    </xf>
    <xf numFmtId="0" fontId="0" fillId="0" borderId="0" xfId="0" applyAlignment="1">
      <alignment horizontal="center" vertical="center" wrapText="1"/>
    </xf>
    <xf numFmtId="0" fontId="31" fillId="0" borderId="0" xfId="57" applyFont="1" applyBorder="1" applyAlignment="1">
      <alignment horizontal="center" vertical="center" wrapText="1"/>
      <protection/>
    </xf>
    <xf numFmtId="177" fontId="31" fillId="0" borderId="0" xfId="57" applyNumberFormat="1" applyFont="1" applyBorder="1" applyAlignment="1">
      <alignment horizontal="center" vertical="center"/>
      <protection/>
    </xf>
    <xf numFmtId="9" fontId="31" fillId="0" borderId="0" xfId="57" applyNumberFormat="1" applyFont="1" applyBorder="1" applyAlignment="1">
      <alignment horizontal="center" vertical="center"/>
      <protection/>
    </xf>
    <xf numFmtId="177" fontId="11" fillId="0" borderId="13" xfId="57" applyNumberFormat="1" applyFont="1" applyBorder="1" applyAlignment="1">
      <alignment horizontal="center" vertical="center"/>
      <protection/>
    </xf>
    <xf numFmtId="9" fontId="11" fillId="0" borderId="13" xfId="57" applyNumberFormat="1" applyFont="1" applyBorder="1" applyAlignment="1">
      <alignment horizontal="center" vertical="center"/>
      <protection/>
    </xf>
    <xf numFmtId="2" fontId="34" fillId="0" borderId="0" xfId="57" applyNumberFormat="1" applyFont="1" applyFill="1" applyBorder="1" applyAlignment="1">
      <alignment horizontal="justify" vertical="top" wrapText="1"/>
      <protection/>
    </xf>
    <xf numFmtId="2" fontId="0" fillId="0" borderId="0" xfId="0" applyNumberFormat="1" applyFont="1" applyBorder="1" applyAlignment="1">
      <alignment horizontal="justify" vertical="top" wrapText="1"/>
    </xf>
    <xf numFmtId="2" fontId="33" fillId="0" borderId="0" xfId="57" applyNumberFormat="1" applyFont="1" applyFill="1" applyBorder="1" applyAlignment="1">
      <alignment horizontal="justify" vertical="top" wrapText="1"/>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Date" xfId="43"/>
    <cellStyle name="En-tête 1" xfId="44"/>
    <cellStyle name="En-tête 2" xfId="45"/>
    <cellStyle name="Entrée" xfId="46"/>
    <cellStyle name="Financier0" xfId="47"/>
    <cellStyle name="Insatisfaisant" xfId="48"/>
    <cellStyle name="Hyperlink" xfId="49"/>
    <cellStyle name="Followed Hyperlink" xfId="50"/>
    <cellStyle name="Comma" xfId="51"/>
    <cellStyle name="Comma [0]" xfId="52"/>
    <cellStyle name="Currency" xfId="53"/>
    <cellStyle name="Currency [0]" xfId="54"/>
    <cellStyle name="Monétaire0" xfId="55"/>
    <cellStyle name="Neutre" xfId="56"/>
    <cellStyle name="Normal_SimulationsIR" xfId="57"/>
    <cellStyle name="Percent" xfId="58"/>
    <cellStyle name="Satisfaisant" xfId="59"/>
    <cellStyle name="Sortie" xfId="60"/>
    <cellStyle name="style_col_headings" xfId="61"/>
    <cellStyle name="Texte explicatif" xfId="62"/>
    <cellStyle name="Titre" xfId="63"/>
    <cellStyle name="Titre 1" xfId="64"/>
    <cellStyle name="Titre 2" xfId="65"/>
    <cellStyle name="Titre 3" xfId="66"/>
    <cellStyle name="Titre 4" xfId="67"/>
    <cellStyle name="Total" xfId="68"/>
    <cellStyle name="Vérification" xfId="69"/>
    <cellStyle name="Virgule fixe"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se-srv-01\t.piketty$\piketty\Successions2000s\PaperLongRunInheritance\PaperMay2010\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e-srv-01\t.piketty$\piketty\Successions2000s\PaperLongRunInheritance\PaperMay2010\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e-srv-01\t.piketty$\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se-srv-01\t.piketty$\DOCUME~1\piketty\LOCALS~1\Temp\RevolutionFiscale(LivreChapitre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lsa.berkeley.edu/manu\papers\estate\excelresults\intermedi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se-srv-01\t.piketty$\DOCUME~1\piketty\LOCALS~1\Temp\Annexes\DonneesFisca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ique2-1"/>
      <sheetName val="Graphique2-2"/>
      <sheetName val="Tableau2-1"/>
      <sheetName val="Graphique2-3"/>
      <sheetName val="Graphique2-4"/>
      <sheetName val="Tableau2-2"/>
      <sheetName val="Graphique2-5"/>
      <sheetName val="data_2-1"/>
      <sheetName val="data_2-2"/>
      <sheetName val="data_graph_tx_impots"/>
      <sheetName val="Graphique2-1bis"/>
      <sheetName val="ImpôtsSmicar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RPP1"/>
      <sheetName val="IRPP2"/>
      <sheetName val="IRPP3"/>
      <sheetName val="IRPP4"/>
      <sheetName val="CSG1"/>
      <sheetName val="CSG2"/>
      <sheetName val="CSG3"/>
      <sheetName val="ISF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6"/>
  <sheetViews>
    <sheetView tabSelected="1" workbookViewId="0" topLeftCell="A1">
      <selection activeCell="A1" sqref="A1"/>
    </sheetView>
  </sheetViews>
  <sheetFormatPr defaultColWidth="11.421875" defaultRowHeight="12.75"/>
  <sheetData>
    <row r="1" ht="12.75">
      <c r="A1" s="2" t="s">
        <v>63</v>
      </c>
    </row>
    <row r="2" ht="12.75">
      <c r="A2" s="2" t="s">
        <v>61</v>
      </c>
    </row>
    <row r="3" ht="12.75">
      <c r="A3" s="2" t="s">
        <v>64</v>
      </c>
    </row>
    <row r="5" ht="12.75">
      <c r="A5" s="2" t="s">
        <v>60</v>
      </c>
    </row>
    <row r="6" ht="12.75">
      <c r="A6" t="s">
        <v>59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D28"/>
  <sheetViews>
    <sheetView workbookViewId="0" topLeftCell="A1">
      <selection activeCell="B2" sqref="B2:D28"/>
    </sheetView>
  </sheetViews>
  <sheetFormatPr defaultColWidth="11.421875" defaultRowHeight="12.75"/>
  <cols>
    <col min="1" max="1" width="11.421875" style="24" customWidth="1"/>
    <col min="2" max="4" width="30.7109375" style="24" customWidth="1"/>
    <col min="5" max="16384" width="11.421875" style="24" customWidth="1"/>
  </cols>
  <sheetData>
    <row r="1" spans="2:4" ht="15" thickBot="1">
      <c r="B1" s="23"/>
      <c r="C1" s="23"/>
      <c r="D1" s="23"/>
    </row>
    <row r="2" spans="2:4" ht="39.75" customHeight="1" thickTop="1">
      <c r="B2" s="25" t="s">
        <v>69</v>
      </c>
      <c r="C2" s="25"/>
      <c r="D2" s="25"/>
    </row>
    <row r="3" spans="2:4" ht="9.75" customHeight="1">
      <c r="B3" s="26"/>
      <c r="C3" s="26"/>
      <c r="D3" s="26"/>
    </row>
    <row r="4" spans="2:4" ht="49.5" customHeight="1">
      <c r="B4" s="27" t="s">
        <v>65</v>
      </c>
      <c r="C4" s="27" t="s">
        <v>66</v>
      </c>
      <c r="D4" s="28"/>
    </row>
    <row r="5" spans="2:4" ht="54.75" customHeight="1">
      <c r="B5" s="29"/>
      <c r="C5" s="30" t="s">
        <v>67</v>
      </c>
      <c r="D5" s="30" t="s">
        <v>68</v>
      </c>
    </row>
    <row r="6" spans="2:4" ht="22.5" customHeight="1">
      <c r="B6" s="31">
        <v>1100</v>
      </c>
      <c r="C6" s="32">
        <v>0.02</v>
      </c>
      <c r="D6" s="32">
        <v>0.02</v>
      </c>
    </row>
    <row r="7" spans="2:4" ht="22.5" customHeight="1">
      <c r="B7" s="31">
        <v>2200</v>
      </c>
      <c r="C7" s="32">
        <v>0.08</v>
      </c>
      <c r="D7" s="32">
        <v>0.12</v>
      </c>
    </row>
    <row r="8" spans="2:4" ht="22.5" customHeight="1">
      <c r="B8" s="31">
        <v>5000</v>
      </c>
      <c r="C8" s="32">
        <v>0.17</v>
      </c>
      <c r="D8" s="32">
        <v>0.21</v>
      </c>
    </row>
    <row r="9" spans="2:4" ht="22.5" customHeight="1">
      <c r="B9" s="31">
        <v>10000</v>
      </c>
      <c r="C9" s="32">
        <v>0.35</v>
      </c>
      <c r="D9" s="32">
        <v>0.43</v>
      </c>
    </row>
    <row r="10" spans="2:4" ht="22.5" customHeight="1">
      <c r="B10" s="31">
        <v>40000</v>
      </c>
      <c r="C10" s="32">
        <v>0.5</v>
      </c>
      <c r="D10" s="32">
        <v>0.5</v>
      </c>
    </row>
    <row r="11" spans="2:4" ht="22.5" customHeight="1">
      <c r="B11" s="31">
        <v>100000</v>
      </c>
      <c r="C11" s="32">
        <v>0.6</v>
      </c>
      <c r="D11" s="32">
        <v>0.6</v>
      </c>
    </row>
    <row r="12" spans="2:4" ht="9.75" customHeight="1">
      <c r="B12" s="33"/>
      <c r="C12" s="34"/>
      <c r="D12" s="34"/>
    </row>
    <row r="13" spans="2:4" ht="19.5" customHeight="1">
      <c r="B13" s="35" t="s">
        <v>70</v>
      </c>
      <c r="C13" s="36"/>
      <c r="D13" s="36"/>
    </row>
    <row r="14" spans="2:4" ht="19.5" customHeight="1">
      <c r="B14" s="37"/>
      <c r="C14" s="36"/>
      <c r="D14" s="36"/>
    </row>
    <row r="15" spans="2:4" ht="19.5" customHeight="1">
      <c r="B15" s="37"/>
      <c r="C15" s="36"/>
      <c r="D15" s="36"/>
    </row>
    <row r="16" spans="2:4" ht="19.5" customHeight="1">
      <c r="B16" s="37"/>
      <c r="C16" s="36"/>
      <c r="D16" s="36"/>
    </row>
    <row r="17" spans="2:4" ht="19.5" customHeight="1">
      <c r="B17" s="37"/>
      <c r="C17" s="36"/>
      <c r="D17" s="36"/>
    </row>
    <row r="18" spans="2:4" ht="19.5" customHeight="1">
      <c r="B18" s="37"/>
      <c r="C18" s="36"/>
      <c r="D18" s="36"/>
    </row>
    <row r="19" spans="2:4" ht="19.5" customHeight="1">
      <c r="B19" s="37"/>
      <c r="C19" s="36"/>
      <c r="D19" s="36"/>
    </row>
    <row r="20" spans="2:4" ht="19.5" customHeight="1">
      <c r="B20" s="37"/>
      <c r="C20" s="36"/>
      <c r="D20" s="36"/>
    </row>
    <row r="21" spans="2:4" ht="19.5" customHeight="1">
      <c r="B21" s="36"/>
      <c r="C21" s="36"/>
      <c r="D21" s="36"/>
    </row>
    <row r="22" spans="2:4" ht="19.5" customHeight="1">
      <c r="B22" s="35" t="s">
        <v>71</v>
      </c>
      <c r="C22" s="36"/>
      <c r="D22" s="36"/>
    </row>
    <row r="23" spans="2:4" ht="19.5" customHeight="1">
      <c r="B23" s="35"/>
      <c r="C23" s="36"/>
      <c r="D23" s="36"/>
    </row>
    <row r="24" spans="2:4" ht="19.5" customHeight="1">
      <c r="B24" s="37"/>
      <c r="C24" s="36"/>
      <c r="D24" s="36"/>
    </row>
    <row r="25" spans="2:4" ht="19.5" customHeight="1">
      <c r="B25" s="37"/>
      <c r="C25" s="36"/>
      <c r="D25" s="36"/>
    </row>
    <row r="26" spans="2:4" ht="19.5" customHeight="1">
      <c r="B26" s="37"/>
      <c r="C26" s="36"/>
      <c r="D26" s="36"/>
    </row>
    <row r="27" spans="2:4" ht="19.5" customHeight="1">
      <c r="B27" s="37"/>
      <c r="C27" s="36"/>
      <c r="D27" s="36"/>
    </row>
    <row r="28" spans="2:4" ht="19.5" customHeight="1">
      <c r="B28" s="37"/>
      <c r="C28" s="36"/>
      <c r="D28" s="36"/>
    </row>
  </sheetData>
  <mergeCells count="5">
    <mergeCell ref="B2:D2"/>
    <mergeCell ref="B13:D21"/>
    <mergeCell ref="B22:D28"/>
    <mergeCell ref="C4:D4"/>
    <mergeCell ref="B4:B5"/>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11.421875" defaultRowHeight="12.75"/>
  <cols>
    <col min="2" max="7" width="15.7109375" style="0" customWidth="1"/>
  </cols>
  <sheetData>
    <row r="1" spans="1:9" ht="15">
      <c r="A1" s="18" t="s">
        <v>58</v>
      </c>
      <c r="I1" s="1"/>
    </row>
    <row r="2" spans="1:9" ht="15">
      <c r="A2" s="4"/>
      <c r="I2" s="1"/>
    </row>
    <row r="3" spans="1:9" ht="15">
      <c r="A3" s="4"/>
      <c r="I3" s="1"/>
    </row>
    <row r="4" ht="12.75">
      <c r="I4" s="1"/>
    </row>
    <row r="5" spans="2:9" ht="15">
      <c r="B5" s="5"/>
      <c r="C5" s="5"/>
      <c r="D5" s="22" t="s">
        <v>13</v>
      </c>
      <c r="E5" s="22"/>
      <c r="F5" s="22" t="s">
        <v>23</v>
      </c>
      <c r="G5" s="22"/>
      <c r="I5" s="1"/>
    </row>
    <row r="6" spans="2:9" ht="15">
      <c r="B6" s="5"/>
      <c r="C6" s="15" t="s">
        <v>34</v>
      </c>
      <c r="D6" s="5" t="s">
        <v>14</v>
      </c>
      <c r="E6" s="6">
        <f>E7+E8-E9</f>
        <v>1919.5094600000002</v>
      </c>
      <c r="F6" s="5" t="s">
        <v>14</v>
      </c>
      <c r="G6" s="6">
        <f>G18+G19+G20</f>
        <v>158.18181818181824</v>
      </c>
      <c r="H6" s="12"/>
      <c r="I6" s="1"/>
    </row>
    <row r="7" spans="2:9" ht="15">
      <c r="B7" s="5" t="s">
        <v>1</v>
      </c>
      <c r="C7" s="6">
        <v>2000</v>
      </c>
      <c r="D7" s="5" t="s">
        <v>15</v>
      </c>
      <c r="E7" s="6">
        <f>C31*12*(C7+C8)</f>
        <v>1862.4</v>
      </c>
      <c r="F7" s="5"/>
      <c r="G7" s="11">
        <f>G6/(12*(C7+C8))</f>
        <v>0.0065909090909090935</v>
      </c>
      <c r="I7" s="1"/>
    </row>
    <row r="8" spans="2:9" ht="15">
      <c r="B8" s="5" t="s">
        <v>2</v>
      </c>
      <c r="C8" s="6">
        <v>0</v>
      </c>
      <c r="D8" s="5" t="s">
        <v>16</v>
      </c>
      <c r="E8" s="6">
        <f>E21</f>
        <v>57.10946000000001</v>
      </c>
      <c r="F8" s="5" t="s">
        <v>38</v>
      </c>
      <c r="G8" s="6">
        <f>E6-G6</f>
        <v>1761.327641818182</v>
      </c>
      <c r="I8" s="1"/>
    </row>
    <row r="9" spans="2:9" ht="15">
      <c r="B9" s="5" t="s">
        <v>30</v>
      </c>
      <c r="C9" s="5">
        <v>0</v>
      </c>
      <c r="D9" s="5" t="s">
        <v>17</v>
      </c>
      <c r="E9" s="6">
        <f>E22+E23+E24</f>
        <v>0</v>
      </c>
      <c r="F9" s="5" t="s">
        <v>39</v>
      </c>
      <c r="G9" s="11">
        <f>G8/(12*(C7+C8))</f>
        <v>0.07338865174242425</v>
      </c>
      <c r="I9" s="1"/>
    </row>
    <row r="10" spans="2:9" ht="15">
      <c r="B10" s="5" t="s">
        <v>3</v>
      </c>
      <c r="C10" s="5">
        <v>2</v>
      </c>
      <c r="D10" s="5"/>
      <c r="E10" s="11">
        <f>E6/(12*(C7+C8))</f>
        <v>0.07997956083333334</v>
      </c>
      <c r="I10" s="1"/>
    </row>
    <row r="11" spans="2:9" ht="15">
      <c r="B11" s="5" t="s">
        <v>26</v>
      </c>
      <c r="C11" s="5">
        <v>0</v>
      </c>
      <c r="D11" s="4"/>
      <c r="E11" s="4"/>
      <c r="F11" s="4"/>
      <c r="I11" s="1"/>
    </row>
    <row r="12" spans="2:9" ht="15">
      <c r="B12" s="4"/>
      <c r="C12" s="4"/>
      <c r="D12" s="4"/>
      <c r="E12" s="4"/>
      <c r="F12" s="4"/>
      <c r="I12" s="1"/>
    </row>
    <row r="13" spans="2:7" ht="15">
      <c r="B13" s="4"/>
      <c r="C13" s="4" t="s">
        <v>0</v>
      </c>
      <c r="D13" s="4"/>
      <c r="E13" s="4"/>
      <c r="F13" s="4"/>
      <c r="G13" s="4" t="s">
        <v>0</v>
      </c>
    </row>
    <row r="14" spans="2:7" ht="15">
      <c r="B14" s="4" t="s">
        <v>1</v>
      </c>
      <c r="C14" s="6">
        <f>(1-C$26)*C7</f>
        <v>1604.8</v>
      </c>
      <c r="D14" s="4"/>
      <c r="E14" s="4"/>
      <c r="F14" s="4" t="s">
        <v>1</v>
      </c>
      <c r="G14" s="6">
        <f>(1-C$27)*C7-G18/12</f>
        <v>1621.8181818181818</v>
      </c>
    </row>
    <row r="15" spans="2:7" ht="15">
      <c r="B15" s="4" t="s">
        <v>2</v>
      </c>
      <c r="C15" s="6">
        <f>(1-C$26)*C8</f>
        <v>0</v>
      </c>
      <c r="D15" s="4"/>
      <c r="E15" s="4"/>
      <c r="F15" s="4" t="s">
        <v>2</v>
      </c>
      <c r="G15" s="6">
        <f>(1-C$27)*C8-G19/12</f>
        <v>0</v>
      </c>
    </row>
    <row r="16" spans="2:6" ht="15">
      <c r="B16" s="4"/>
      <c r="C16" s="4"/>
      <c r="D16" s="4"/>
      <c r="E16" s="4"/>
      <c r="F16" s="4"/>
    </row>
    <row r="17" spans="2:6" ht="15">
      <c r="B17" s="4"/>
      <c r="C17" s="4" t="s">
        <v>11</v>
      </c>
      <c r="D17" s="4"/>
      <c r="E17" s="4"/>
      <c r="F17" s="4"/>
    </row>
    <row r="18" spans="2:8" ht="15">
      <c r="B18" s="4" t="s">
        <v>1</v>
      </c>
      <c r="C18" s="6">
        <f>(1-C$26+C$33)*C7</f>
        <v>1661.06</v>
      </c>
      <c r="D18" s="4" t="s">
        <v>28</v>
      </c>
      <c r="E18" s="6">
        <f>C20*(E$28*IF(C21&gt;=D$28,IF(C21&lt;D$29,C21-D$28,D$29-D$28),0)+E$29*IF(C21&gt;=D$29,IF(C21&lt;D$30,C21-D$29,D$30-D$29),0)+E$30*IF(C21&gt;=D$30,IF(C21&lt;D$31,C21-D$30,D$31-D$30),0)+E$31*IF(C21&gt;=D$31,C21-D$31,0))</f>
        <v>330.73964</v>
      </c>
      <c r="F18" s="4" t="s">
        <v>19</v>
      </c>
      <c r="G18" s="6">
        <f>12*C7*(IF(G22&lt;=F$27,1,0)*G$27+IF(G22&gt;F$27,IF(G22&lt;F$28,1,0),0)*(G$27+(G$28-G$27)*(G22-F$27)/(F$28-F$27))+IF(G22&gt;=F$28,IF(G22&lt;F$29,1,0),0)*(G$28+(G$29-G$28)*(G22-F$28)/(F$29-F$28))+IF(G22&gt;=F$29,IF(G22&lt;F$30,1,0),0)*(G$29+(G$30-G$29)*(G22-F$29)/(F$30-F$29))+IF(G22&gt;=F$30,IF(G22&lt;F$31,1,0),0)*(G$30+(G$31-G$30)*(G22-F$30)/(F$31-F$30))+IF(G22&gt;=F$31,IF(G22&lt;F$32,1,0),0)*(G$31+(G$32-G$31)*(G22-F$31)/(F$32-F$31))+IF(G22&gt;=F$32,1,0)*G$32)</f>
        <v>1658.1818181818182</v>
      </c>
      <c r="H18" s="17"/>
    </row>
    <row r="19" spans="2:7" ht="15">
      <c r="B19" s="4" t="s">
        <v>2</v>
      </c>
      <c r="C19" s="6">
        <f>(1-C$26+C$33)*C8</f>
        <v>0</v>
      </c>
      <c r="D19" s="4" t="s">
        <v>29</v>
      </c>
      <c r="E19" s="6">
        <f>C22*(E$28*IF(C23&gt;=D$28,IF(C23&lt;D$29,C23-D$28,D$29-D$28),0)+E$29*IF(C23&gt;=D$29,IF(C23&lt;D$30,C23-D$29,D$30-D$29),0)+E$30*IF(C23&gt;=D$30,IF(C23&lt;D$31,C23-D$30,D$31-D$30),0)+E$31*IF(C23&gt;=D$31,C23-D$31,0))</f>
        <v>1172.3977200000002</v>
      </c>
      <c r="F19" s="4" t="s">
        <v>20</v>
      </c>
      <c r="G19" s="6">
        <f>12*C8*(IF(G23&lt;=F$27,1,0)*G$27+IF(G23&gt;F$27,IF(G23&lt;F$28,1,0),0)*(G$27+(G$28-G$27)*(G23-F$27)/(F$28-F$27))+IF(G23&gt;=F$28,IF(G23&lt;F$29,1,0),0)*(G$28+(G$29-G$28)*(G23-F$28)/(F$29-F$28))+IF(G23&gt;=F$29,IF(G23&lt;F$30,1,0),0)*(G$29+(G$30-G$29)*(G23-F$29)/(F$30-F$29))+IF(G23&gt;=F$30,IF(G23&lt;F$31,1,0),0)*(G$30+(G$31-G$30)*(G23-F$30)/(F$31-F$30))+IF(G23&gt;=F$31,IF(G23&lt;F$32,1,0),0)*(G$31+(G$32-G$31)*(G23-F$31)/(F$32-F$31))+IF(G23&gt;=F$32,1,0)*G$32)</f>
        <v>0</v>
      </c>
    </row>
    <row r="20" spans="2:7" ht="15">
      <c r="B20" s="4" t="s">
        <v>27</v>
      </c>
      <c r="C20" s="7">
        <f>C22+MIN(C10,2)*0.5+MAX(C10-2,0)*1+C11*0.5</f>
        <v>2</v>
      </c>
      <c r="D20" s="13" t="s">
        <v>31</v>
      </c>
      <c r="E20" s="14">
        <f>MAX(E18,E19-(C20-C22)*2*E33)</f>
        <v>330.73964</v>
      </c>
      <c r="F20" s="4" t="s">
        <v>21</v>
      </c>
      <c r="G20" s="6">
        <f>-C10*G33</f>
        <v>-1500</v>
      </c>
    </row>
    <row r="21" spans="2:6" ht="15">
      <c r="B21" s="4" t="s">
        <v>12</v>
      </c>
      <c r="C21" s="6">
        <f>12*(C$18-MIN(0.1*C$18,$E$32/12)+C$19-MIN(0.1*C$19,$E$32/12))/C20</f>
        <v>8969.724</v>
      </c>
      <c r="D21" s="13" t="s">
        <v>33</v>
      </c>
      <c r="E21" s="14">
        <f>MAX(0,E20-IF(E20&lt;E34,MIN(E20,(E34-E20)/2),0))</f>
        <v>57.10946000000001</v>
      </c>
      <c r="F21" s="4"/>
    </row>
    <row r="22" spans="2:7" ht="15">
      <c r="B22" s="4" t="s">
        <v>22</v>
      </c>
      <c r="C22" s="7">
        <f>1+MAX(C9,IF(C8&gt;0,1,0))</f>
        <v>1</v>
      </c>
      <c r="D22" s="13" t="s">
        <v>45</v>
      </c>
      <c r="E22" s="6">
        <f>(E$39*12*C18*IF(12*C18&gt;=E$36,IF(12*C18&lt;E$37,1,0),0)+E$40*(E$38-12*C18)*IF(12*C18&gt;=E$37,IF(12*C18&lt;=E$38,1,0),0))*IF(C$23&lt;=E$41+C$10*E$44,1,0)</f>
        <v>0</v>
      </c>
      <c r="F22" s="4" t="s">
        <v>1</v>
      </c>
      <c r="G22" s="6">
        <f>IF(G$34=0,C7,IF(C$22=1,C7,(C$7+C$8)/2))</f>
        <v>2000</v>
      </c>
    </row>
    <row r="23" spans="2:7" ht="15">
      <c r="B23" s="4" t="s">
        <v>12</v>
      </c>
      <c r="C23" s="6">
        <f>12*(C$18-MIN(0.1*C$18,$E$32/12)+C$19-MIN(0.1*C$19,$E$32/12))/C22</f>
        <v>17939.448</v>
      </c>
      <c r="D23" s="13" t="s">
        <v>46</v>
      </c>
      <c r="E23" s="6">
        <f>(E$39*12*C19*IF(12*C19&gt;=E$36,IF(12*C19&lt;E$37,1,0),0)+E$40*(E$38-12*C19)*IF(12*C19&gt;=E$37,IF(12*C19&lt;=E$38,1,0),0))*IF(C$23&lt;=E$41+C$10*E$44,1,0)</f>
        <v>0</v>
      </c>
      <c r="F23" s="4" t="s">
        <v>2</v>
      </c>
      <c r="G23" s="6">
        <f>IF(G$34=0,C8,IF(C$22=1,C8,(C$7+C$8)/2))</f>
        <v>0</v>
      </c>
    </row>
    <row r="24" spans="4:5" ht="15">
      <c r="D24" s="13" t="s">
        <v>51</v>
      </c>
      <c r="E24" s="14">
        <f>(E42*(C10+C11)+E43*IF(C22=2,IF(12*MIN(C18,C19)&lt;E36,1,0),0))*IF(E22+E23&gt;0,1,0)+E43*IF(C22=2,IF(12*MIN(C18,C19)&lt;E36,1,0),0)*IF(12*MAX(C18,C19)&gt;E38,IF(12*MAX(C18,C19)&lt;E45,1,0),0)</f>
        <v>0</v>
      </c>
    </row>
    <row r="25" spans="4:5" ht="15">
      <c r="D25" s="13"/>
      <c r="E25" s="14"/>
    </row>
    <row r="26" spans="2:8" ht="15">
      <c r="B26" s="4" t="s">
        <v>9</v>
      </c>
      <c r="C26" s="8">
        <f>C27+C31</f>
        <v>0.1976</v>
      </c>
      <c r="D26" s="21" t="s">
        <v>36</v>
      </c>
      <c r="E26" s="21"/>
      <c r="F26" s="21" t="s">
        <v>37</v>
      </c>
      <c r="G26" s="21"/>
      <c r="H26" s="16"/>
    </row>
    <row r="27" spans="2:8" ht="15">
      <c r="B27" s="4" t="s">
        <v>25</v>
      </c>
      <c r="C27" s="8">
        <v>0.12</v>
      </c>
      <c r="D27" s="6">
        <v>0</v>
      </c>
      <c r="E27" s="11">
        <v>0</v>
      </c>
      <c r="F27" s="9">
        <v>1100</v>
      </c>
      <c r="G27" s="10">
        <v>0.02</v>
      </c>
      <c r="H27" s="16"/>
    </row>
    <row r="28" spans="2:8" ht="15">
      <c r="B28" s="4" t="s">
        <v>4</v>
      </c>
      <c r="C28" s="8">
        <v>0.1383</v>
      </c>
      <c r="D28" s="6">
        <v>5963</v>
      </c>
      <c r="E28" s="11">
        <v>0.055</v>
      </c>
      <c r="F28" s="9">
        <v>2200</v>
      </c>
      <c r="G28" s="10">
        <v>0.08</v>
      </c>
      <c r="H28" s="16"/>
    </row>
    <row r="29" spans="2:8" ht="15">
      <c r="B29" s="4" t="s">
        <v>10</v>
      </c>
      <c r="C29" s="8">
        <v>0.12</v>
      </c>
      <c r="D29" s="6">
        <v>11896</v>
      </c>
      <c r="E29" s="11">
        <v>0.14</v>
      </c>
      <c r="F29" s="9">
        <v>5000</v>
      </c>
      <c r="G29" s="10">
        <v>0.17</v>
      </c>
      <c r="H29" s="16"/>
    </row>
    <row r="30" spans="2:7" ht="15">
      <c r="B30" s="4" t="s">
        <v>5</v>
      </c>
      <c r="C30" s="8">
        <v>0.0785</v>
      </c>
      <c r="D30" s="6">
        <v>26420</v>
      </c>
      <c r="E30" s="11">
        <v>0.3</v>
      </c>
      <c r="F30" s="9">
        <v>10000</v>
      </c>
      <c r="G30" s="10">
        <v>0.35</v>
      </c>
    </row>
    <row r="31" spans="2:7" ht="15">
      <c r="B31" s="4" t="s">
        <v>8</v>
      </c>
      <c r="C31" s="8">
        <f>0.97*0.08</f>
        <v>0.0776</v>
      </c>
      <c r="D31" s="6">
        <v>70830</v>
      </c>
      <c r="E31" s="11">
        <v>0.41</v>
      </c>
      <c r="F31" s="9">
        <v>40000</v>
      </c>
      <c r="G31" s="10">
        <v>0.5</v>
      </c>
    </row>
    <row r="32" spans="2:7" ht="15">
      <c r="B32" s="4" t="s">
        <v>7</v>
      </c>
      <c r="C32" s="8">
        <f>0.97*0.051</f>
        <v>0.04946999999999999</v>
      </c>
      <c r="D32" s="4" t="s">
        <v>24</v>
      </c>
      <c r="E32" s="6">
        <v>14157</v>
      </c>
      <c r="F32" s="9">
        <v>100000</v>
      </c>
      <c r="G32" s="10">
        <v>0.6</v>
      </c>
    </row>
    <row r="33" spans="2:7" ht="15">
      <c r="B33" s="4" t="s">
        <v>6</v>
      </c>
      <c r="C33" s="8">
        <f>0.97*0.029</f>
        <v>0.028130000000000002</v>
      </c>
      <c r="D33" s="4" t="s">
        <v>35</v>
      </c>
      <c r="E33" s="6">
        <v>2336</v>
      </c>
      <c r="F33" s="5" t="s">
        <v>18</v>
      </c>
      <c r="G33" s="6">
        <v>750</v>
      </c>
    </row>
    <row r="34" spans="4:7" ht="15">
      <c r="D34" s="13" t="s">
        <v>32</v>
      </c>
      <c r="E34" s="6">
        <v>878</v>
      </c>
      <c r="F34" s="4" t="s">
        <v>55</v>
      </c>
      <c r="G34" s="19">
        <v>0</v>
      </c>
    </row>
    <row r="35" spans="2:6" ht="15">
      <c r="B35" s="4"/>
      <c r="D35" s="20" t="s">
        <v>48</v>
      </c>
      <c r="E35" s="21"/>
      <c r="F35" s="4"/>
    </row>
    <row r="36" spans="4:6" ht="15">
      <c r="D36" s="13" t="s">
        <v>40</v>
      </c>
      <c r="E36" s="6">
        <v>3743</v>
      </c>
      <c r="F36" s="4"/>
    </row>
    <row r="37" spans="4:6" ht="15">
      <c r="D37" s="13" t="s">
        <v>42</v>
      </c>
      <c r="E37" s="6">
        <v>12475</v>
      </c>
      <c r="F37" s="4"/>
    </row>
    <row r="38" spans="4:6" ht="15">
      <c r="D38" s="13" t="s">
        <v>41</v>
      </c>
      <c r="E38" s="6">
        <v>17451</v>
      </c>
      <c r="F38" s="4"/>
    </row>
    <row r="39" spans="4:5" ht="15">
      <c r="D39" s="13" t="s">
        <v>43</v>
      </c>
      <c r="E39" s="11">
        <v>0.077</v>
      </c>
    </row>
    <row r="40" spans="4:5" ht="15">
      <c r="D40" s="13" t="s">
        <v>44</v>
      </c>
      <c r="E40" s="11">
        <v>0.193</v>
      </c>
    </row>
    <row r="41" spans="4:5" ht="15">
      <c r="D41" s="13" t="s">
        <v>47</v>
      </c>
      <c r="E41" s="6">
        <v>16251</v>
      </c>
    </row>
    <row r="42" spans="4:5" ht="15">
      <c r="D42" s="13" t="s">
        <v>50</v>
      </c>
      <c r="E42" s="14">
        <v>36</v>
      </c>
    </row>
    <row r="43" spans="4:5" ht="15">
      <c r="D43" s="13" t="s">
        <v>49</v>
      </c>
      <c r="E43" s="14">
        <v>83</v>
      </c>
    </row>
    <row r="44" spans="4:5" ht="15">
      <c r="D44" s="13" t="s">
        <v>52</v>
      </c>
      <c r="E44" s="6">
        <v>4490</v>
      </c>
    </row>
    <row r="45" spans="4:5" ht="15">
      <c r="D45" s="13" t="s">
        <v>53</v>
      </c>
      <c r="E45" s="6">
        <v>24950</v>
      </c>
    </row>
    <row r="46" spans="4:5" ht="15">
      <c r="D46" s="13" t="s">
        <v>54</v>
      </c>
      <c r="E46" s="6">
        <v>26572</v>
      </c>
    </row>
  </sheetData>
  <sheetProtection/>
  <mergeCells count="5">
    <mergeCell ref="D35:E35"/>
    <mergeCell ref="D5:E5"/>
    <mergeCell ref="F5:G5"/>
    <mergeCell ref="D26:E26"/>
    <mergeCell ref="F26:G26"/>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11.421875" defaultRowHeight="12.75"/>
  <cols>
    <col min="2" max="7" width="15.7109375" style="0" customWidth="1"/>
  </cols>
  <sheetData>
    <row r="1" spans="1:9" ht="15">
      <c r="A1" s="18" t="s">
        <v>57</v>
      </c>
      <c r="I1" s="1"/>
    </row>
    <row r="2" spans="1:9" ht="15">
      <c r="A2" s="4"/>
      <c r="I2" s="1"/>
    </row>
    <row r="3" spans="1:9" ht="15">
      <c r="A3" s="4"/>
      <c r="I3" s="1"/>
    </row>
    <row r="4" ht="12.75">
      <c r="I4" s="1"/>
    </row>
    <row r="5" spans="2:9" ht="15">
      <c r="B5" s="5"/>
      <c r="C5" s="5"/>
      <c r="D5" s="22" t="s">
        <v>13</v>
      </c>
      <c r="E5" s="22"/>
      <c r="F5" s="22" t="s">
        <v>23</v>
      </c>
      <c r="G5" s="22"/>
      <c r="I5" s="1"/>
    </row>
    <row r="6" spans="2:9" ht="15">
      <c r="B6" s="5"/>
      <c r="C6" s="15" t="s">
        <v>34</v>
      </c>
      <c r="D6" s="5" t="s">
        <v>14</v>
      </c>
      <c r="E6" s="6">
        <f>E7+E8-E9</f>
        <v>14558.322467999998</v>
      </c>
      <c r="F6" s="5" t="s">
        <v>14</v>
      </c>
      <c r="G6" s="6">
        <f>G18+G19+G20</f>
        <v>18639.428571428572</v>
      </c>
      <c r="H6" s="12"/>
      <c r="I6" s="1"/>
    </row>
    <row r="7" spans="2:9" ht="15">
      <c r="B7" s="5" t="s">
        <v>1</v>
      </c>
      <c r="C7" s="6">
        <v>4400</v>
      </c>
      <c r="D7" s="5" t="s">
        <v>15</v>
      </c>
      <c r="E7" s="6">
        <f>C31*12*(C7+C8)</f>
        <v>8194.56</v>
      </c>
      <c r="F7" s="5"/>
      <c r="G7" s="11">
        <f>G6/(12*(C7+C8))</f>
        <v>0.17650974025974028</v>
      </c>
      <c r="I7" s="1"/>
    </row>
    <row r="8" spans="2:9" ht="15">
      <c r="B8" s="5" t="s">
        <v>2</v>
      </c>
      <c r="C8" s="6">
        <v>4400</v>
      </c>
      <c r="D8" s="5" t="s">
        <v>16</v>
      </c>
      <c r="E8" s="6">
        <f>E21</f>
        <v>6363.762468</v>
      </c>
      <c r="F8" s="5" t="s">
        <v>38</v>
      </c>
      <c r="G8" s="6">
        <f>E6-G6</f>
        <v>-4081.106103428574</v>
      </c>
      <c r="I8" s="1"/>
    </row>
    <row r="9" spans="2:9" ht="15">
      <c r="B9" s="5" t="s">
        <v>30</v>
      </c>
      <c r="C9" s="5">
        <v>0</v>
      </c>
      <c r="D9" s="5" t="s">
        <v>17</v>
      </c>
      <c r="E9" s="6">
        <f>E22+E23+E24</f>
        <v>0</v>
      </c>
      <c r="F9" s="5" t="s">
        <v>39</v>
      </c>
      <c r="G9" s="11">
        <f>G8/(12*(C7+C8))</f>
        <v>-0.038646838100649374</v>
      </c>
      <c r="I9" s="1"/>
    </row>
    <row r="10" spans="2:9" ht="15">
      <c r="B10" s="5" t="s">
        <v>3</v>
      </c>
      <c r="C10" s="5">
        <v>2</v>
      </c>
      <c r="D10" s="5"/>
      <c r="E10" s="11">
        <f>E6/(12*(C7+C8))</f>
        <v>0.1378629021590909</v>
      </c>
      <c r="F10" s="5"/>
      <c r="G10" s="3"/>
      <c r="I10" s="1"/>
    </row>
    <row r="11" spans="2:9" ht="15">
      <c r="B11" s="5" t="s">
        <v>26</v>
      </c>
      <c r="C11" s="5">
        <v>1</v>
      </c>
      <c r="D11" s="4"/>
      <c r="E11" s="4"/>
      <c r="F11" s="4"/>
      <c r="I11" s="1"/>
    </row>
    <row r="12" spans="2:9" ht="15">
      <c r="B12" s="4"/>
      <c r="C12" s="4"/>
      <c r="D12" s="4"/>
      <c r="E12" s="4"/>
      <c r="F12" s="4"/>
      <c r="I12" s="1"/>
    </row>
    <row r="13" spans="2:7" ht="15">
      <c r="B13" s="4"/>
      <c r="C13" s="4" t="s">
        <v>0</v>
      </c>
      <c r="D13" s="4"/>
      <c r="E13" s="4"/>
      <c r="F13" s="4"/>
      <c r="G13" s="4" t="s">
        <v>0</v>
      </c>
    </row>
    <row r="14" spans="2:7" ht="15">
      <c r="B14" s="4" t="s">
        <v>1</v>
      </c>
      <c r="C14" s="6">
        <f>(1-C$26)*C7</f>
        <v>3530.56</v>
      </c>
      <c r="D14" s="4"/>
      <c r="E14" s="4"/>
      <c r="F14" s="4" t="s">
        <v>1</v>
      </c>
      <c r="G14" s="6">
        <f>(1-C$27)*C7-G18/12</f>
        <v>3032.8571428571427</v>
      </c>
    </row>
    <row r="15" spans="2:7" ht="15">
      <c r="B15" s="4" t="s">
        <v>2</v>
      </c>
      <c r="C15" s="6">
        <f>(1-C$26)*C8</f>
        <v>3530.56</v>
      </c>
      <c r="D15" s="4"/>
      <c r="E15" s="4"/>
      <c r="F15" s="4" t="s">
        <v>2</v>
      </c>
      <c r="G15" s="6">
        <f>(1-C$27)*C8-G19/12</f>
        <v>3032.8571428571427</v>
      </c>
    </row>
    <row r="16" spans="2:6" ht="15">
      <c r="B16" s="4"/>
      <c r="C16" s="4"/>
      <c r="D16" s="4"/>
      <c r="E16" s="4"/>
      <c r="F16" s="4"/>
    </row>
    <row r="17" spans="2:6" ht="15">
      <c r="B17" s="4"/>
      <c r="C17" s="4" t="s">
        <v>11</v>
      </c>
      <c r="D17" s="4"/>
      <c r="E17" s="4"/>
      <c r="F17" s="4"/>
    </row>
    <row r="18" spans="2:8" ht="15">
      <c r="B18" s="4" t="s">
        <v>1</v>
      </c>
      <c r="C18" s="6">
        <f>(1-C$26+C$33)*C7</f>
        <v>3654.332</v>
      </c>
      <c r="D18" s="4" t="s">
        <v>28</v>
      </c>
      <c r="E18" s="6">
        <f>C20*(E$28*IF(C21&gt;=D$28,IF(C21&lt;D$29,C21-D$28,D$29-D$28),0)+E$29*IF(C21&gt;=D$29,IF(C21&lt;D$30,C21-D$29,D$30-D$29),0)+E$30*IF(C21&gt;=D$30,IF(C21&lt;D$31,C21-D$30,D$31-D$30),0)+E$31*IF(C21&gt;=D$31,C21-D$31,0))</f>
        <v>6363.762468</v>
      </c>
      <c r="F18" s="4" t="s">
        <v>19</v>
      </c>
      <c r="G18" s="6">
        <f>12*C7*(IF(G22&lt;=F$27,1,0)*G$27+IF(G22&gt;F$27,IF(G22&lt;F$28,1,0),0)*(G$27+(G$28-G$27)*(G22-F$27)/(F$28-F$27))+IF(G22&gt;=F$28,IF(G22&lt;F$29,1,0),0)*(G$28+(G$29-G$28)*(G22-F$28)/(F$29-F$28))+IF(G22&gt;=F$29,IF(G22&lt;F$30,1,0),0)*(G$29+(G$30-G$29)*(G22-F$29)/(F$30-F$29))+IF(G22&gt;=F$30,IF(G22&lt;F$31,1,0),0)*(G$30+(G$31-G$30)*(G22-F$30)/(F$31-F$30))+IF(G22&gt;=F$31,IF(G22&lt;F$32,1,0),0)*(G$31+(G$32-G$31)*(G22-F$31)/(F$32-F$31))+IF(G22&gt;=F$32,1,0)*G$32)</f>
        <v>10069.714285714286</v>
      </c>
      <c r="H18" s="17"/>
    </row>
    <row r="19" spans="2:7" ht="15">
      <c r="B19" s="4" t="s">
        <v>2</v>
      </c>
      <c r="C19" s="6">
        <f>(1-C$26+C$33)*C8</f>
        <v>3654.332</v>
      </c>
      <c r="D19" s="4" t="s">
        <v>29</v>
      </c>
      <c r="E19" s="6">
        <f>C22*(E$28*IF(C23&gt;=D$28,IF(C23&lt;D$29,C23-D$28,D$29-D$28),0)+E$29*IF(C23&gt;=D$29,IF(C23&lt;D$30,C23-D$29,D$30-D$29),0)+E$30*IF(C23&gt;=D$30,IF(C23&lt;D$31,C23-D$30,D$31-D$30),0)+E$31*IF(C23&gt;=D$31,C23-D$31,0))</f>
        <v>12547.421359999997</v>
      </c>
      <c r="F19" s="4" t="s">
        <v>20</v>
      </c>
      <c r="G19" s="6">
        <f>12*C8*(IF(G23&lt;=F$27,1,0)*G$27+IF(G23&gt;F$27,IF(G23&lt;F$28,1,0),0)*(G$27+(G$28-G$27)*(G23-F$27)/(F$28-F$27))+IF(G23&gt;=F$28,IF(G23&lt;F$29,1,0),0)*(G$28+(G$29-G$28)*(G23-F$28)/(F$29-F$28))+IF(G23&gt;=F$29,IF(G23&lt;F$30,1,0),0)*(G$29+(G$30-G$29)*(G23-F$29)/(F$30-F$29))+IF(G23&gt;=F$30,IF(G23&lt;F$31,1,0),0)*(G$30+(G$31-G$30)*(G23-F$30)/(F$31-F$30))+IF(G23&gt;=F$31,IF(G23&lt;F$32,1,0),0)*(G$31+(G$32-G$31)*(G23-F$31)/(F$32-F$31))+IF(G23&gt;=F$32,1,0)*G$32)</f>
        <v>10069.714285714286</v>
      </c>
    </row>
    <row r="20" spans="2:7" ht="15">
      <c r="B20" s="4" t="s">
        <v>27</v>
      </c>
      <c r="C20" s="7">
        <f>C22+MIN(C10,2)*0.5+MAX(C10-2,0)*1+C11*0.5</f>
        <v>3.5</v>
      </c>
      <c r="D20" s="13" t="s">
        <v>31</v>
      </c>
      <c r="E20" s="14">
        <f>MAX(E18,E19-(C20-C22)*2*E33)</f>
        <v>6363.762468</v>
      </c>
      <c r="F20" s="4" t="s">
        <v>21</v>
      </c>
      <c r="G20" s="6">
        <f>-C10*G33</f>
        <v>-1500</v>
      </c>
    </row>
    <row r="21" spans="2:6" ht="15">
      <c r="B21" s="4" t="s">
        <v>12</v>
      </c>
      <c r="C21" s="6">
        <f>12*(C$18-MIN(0.1*C$18,$E$32/12)+C$19-MIN(0.1*C$19,$E$32/12))/C20</f>
        <v>22552.448914285713</v>
      </c>
      <c r="D21" s="13" t="s">
        <v>33</v>
      </c>
      <c r="E21" s="14">
        <f>MAX(0,E20-IF(E20&lt;E34,MIN(E20,(E34-E20)/2),0))</f>
        <v>6363.762468</v>
      </c>
      <c r="F21" s="4"/>
    </row>
    <row r="22" spans="2:7" ht="15">
      <c r="B22" s="4" t="s">
        <v>22</v>
      </c>
      <c r="C22" s="7">
        <f>1+MAX(C9,IF(C8&gt;0,1,0))</f>
        <v>2</v>
      </c>
      <c r="D22" s="13" t="s">
        <v>45</v>
      </c>
      <c r="E22" s="6">
        <f>(E$39*12*C18*IF(12*C18&gt;=E$36,IF(12*C18&lt;E$37,1,0),0)+E$40*(E$38-12*C18)*IF(12*C18&gt;=E$37,IF(12*C18&lt;=E$38,1,0),0))*IF(C$23&lt;=E$41+C$10*E$44,1,0)</f>
        <v>0</v>
      </c>
      <c r="F22" s="4" t="s">
        <v>1</v>
      </c>
      <c r="G22" s="6">
        <f>IF(G$34=0,C7,IF(C$22=1,C7,(C$7+C$8)/2))/(1+IF(C$22*C$11=1,IF(G$35=1,0.5,0),0))</f>
        <v>4400</v>
      </c>
    </row>
    <row r="23" spans="2:7" ht="15">
      <c r="B23" s="4" t="s">
        <v>12</v>
      </c>
      <c r="C23" s="6">
        <f>12*(C$18-MIN(0.1*C$18,$E$32/12)+C$19-MIN(0.1*C$19,$E$32/12))/C22</f>
        <v>39466.785599999996</v>
      </c>
      <c r="D23" s="13" t="s">
        <v>46</v>
      </c>
      <c r="E23" s="6">
        <f>(E$39*12*C19*IF(12*C19&gt;=E$36,IF(12*C19&lt;E$37,1,0),0)+E$40*(E$38-12*C19)*IF(12*C19&gt;=E$37,IF(12*C19&lt;=E$38,1,0),0))*IF(C$23&lt;=E$41+C$10*E$44,1,0)</f>
        <v>0</v>
      </c>
      <c r="F23" s="4" t="s">
        <v>2</v>
      </c>
      <c r="G23" s="6">
        <f>IF(G$34=0,C8,IF(C$22=1,C8,(C$7+C$8)/2))/(1+IF(C$22=1,IF(G$35=1,0.5,0),0))</f>
        <v>4400</v>
      </c>
    </row>
    <row r="24" spans="4:5" ht="15">
      <c r="D24" s="13" t="s">
        <v>51</v>
      </c>
      <c r="E24" s="14">
        <f>(E42*(C10+C11)+E43*IF(C22=2,IF(12*MIN(C18,C19)&lt;E36,1,0),0))*IF(E22+E23&gt;0,1,0)+E43*IF(C22=2,IF(12*MIN(C18,C19)&lt;E36,1,0),0)*IF(12*MAX(C18,C19)&gt;E38,IF(12*MAX(C18,C19)&lt;E45,1,0),0)</f>
        <v>0</v>
      </c>
    </row>
    <row r="25" spans="4:5" ht="15">
      <c r="D25" s="13"/>
      <c r="E25" s="14"/>
    </row>
    <row r="26" spans="2:8" ht="15">
      <c r="B26" s="4" t="s">
        <v>9</v>
      </c>
      <c r="C26" s="8">
        <f>C27+C31</f>
        <v>0.1976</v>
      </c>
      <c r="D26" s="21" t="s">
        <v>36</v>
      </c>
      <c r="E26" s="21"/>
      <c r="F26" s="21" t="s">
        <v>37</v>
      </c>
      <c r="G26" s="21"/>
      <c r="H26" s="16"/>
    </row>
    <row r="27" spans="2:8" ht="15">
      <c r="B27" s="4" t="s">
        <v>25</v>
      </c>
      <c r="C27" s="8">
        <v>0.12</v>
      </c>
      <c r="D27" s="6">
        <v>0</v>
      </c>
      <c r="E27" s="11">
        <v>0</v>
      </c>
      <c r="F27" s="9">
        <v>1100</v>
      </c>
      <c r="G27" s="10">
        <v>0.02</v>
      </c>
      <c r="H27" s="16"/>
    </row>
    <row r="28" spans="2:8" ht="15">
      <c r="B28" s="4" t="s">
        <v>4</v>
      </c>
      <c r="C28" s="8">
        <v>0.1383</v>
      </c>
      <c r="D28" s="6">
        <v>5963</v>
      </c>
      <c r="E28" s="11">
        <v>0.055</v>
      </c>
      <c r="F28" s="9">
        <v>2200</v>
      </c>
      <c r="G28" s="10">
        <v>0.12</v>
      </c>
      <c r="H28" s="16"/>
    </row>
    <row r="29" spans="2:8" ht="15">
      <c r="B29" s="4" t="s">
        <v>10</v>
      </c>
      <c r="C29" s="8">
        <v>0.12</v>
      </c>
      <c r="D29" s="6">
        <v>11896</v>
      </c>
      <c r="E29" s="11">
        <v>0.14</v>
      </c>
      <c r="F29" s="9">
        <v>5000</v>
      </c>
      <c r="G29" s="10">
        <v>0.21</v>
      </c>
      <c r="H29" s="16"/>
    </row>
    <row r="30" spans="2:7" ht="15">
      <c r="B30" s="4" t="s">
        <v>5</v>
      </c>
      <c r="C30" s="8">
        <v>0.0785</v>
      </c>
      <c r="D30" s="6">
        <v>26420</v>
      </c>
      <c r="E30" s="11">
        <v>0.3</v>
      </c>
      <c r="F30" s="9">
        <v>10000</v>
      </c>
      <c r="G30" s="10">
        <v>0.43</v>
      </c>
    </row>
    <row r="31" spans="2:7" ht="15">
      <c r="B31" s="4" t="s">
        <v>8</v>
      </c>
      <c r="C31" s="8">
        <f>0.97*0.08</f>
        <v>0.0776</v>
      </c>
      <c r="D31" s="6">
        <v>70830</v>
      </c>
      <c r="E31" s="11">
        <v>0.41</v>
      </c>
      <c r="F31" s="9">
        <v>40000</v>
      </c>
      <c r="G31" s="10">
        <v>0.5</v>
      </c>
    </row>
    <row r="32" spans="2:7" ht="15">
      <c r="B32" s="4" t="s">
        <v>7</v>
      </c>
      <c r="C32" s="8">
        <f>0.97*0.051</f>
        <v>0.04946999999999999</v>
      </c>
      <c r="D32" s="4" t="s">
        <v>24</v>
      </c>
      <c r="E32" s="6">
        <v>14157</v>
      </c>
      <c r="F32" s="9">
        <v>100000</v>
      </c>
      <c r="G32" s="10">
        <v>0.6</v>
      </c>
    </row>
    <row r="33" spans="2:7" ht="15">
      <c r="B33" s="4" t="s">
        <v>6</v>
      </c>
      <c r="C33" s="8">
        <f>0.97*0.029</f>
        <v>0.028130000000000002</v>
      </c>
      <c r="D33" s="4" t="s">
        <v>35</v>
      </c>
      <c r="E33" s="6">
        <v>2336</v>
      </c>
      <c r="F33" s="5" t="s">
        <v>18</v>
      </c>
      <c r="G33" s="6">
        <v>750</v>
      </c>
    </row>
    <row r="34" spans="4:7" ht="15">
      <c r="D34" s="13" t="s">
        <v>32</v>
      </c>
      <c r="E34" s="6">
        <v>878</v>
      </c>
      <c r="F34" s="4" t="s">
        <v>55</v>
      </c>
      <c r="G34" s="19">
        <v>1</v>
      </c>
    </row>
    <row r="35" spans="2:7" ht="15">
      <c r="B35" s="4"/>
      <c r="D35" s="20" t="s">
        <v>48</v>
      </c>
      <c r="E35" s="21"/>
      <c r="F35" s="4" t="s">
        <v>56</v>
      </c>
      <c r="G35" s="19">
        <v>1</v>
      </c>
    </row>
    <row r="36" spans="4:6" ht="15">
      <c r="D36" s="13" t="s">
        <v>40</v>
      </c>
      <c r="E36" s="6">
        <v>3743</v>
      </c>
      <c r="F36" s="4"/>
    </row>
    <row r="37" spans="4:6" ht="15">
      <c r="D37" s="13" t="s">
        <v>42</v>
      </c>
      <c r="E37" s="6">
        <v>12475</v>
      </c>
      <c r="F37" s="4"/>
    </row>
    <row r="38" spans="4:6" ht="15">
      <c r="D38" s="13" t="s">
        <v>41</v>
      </c>
      <c r="E38" s="6">
        <v>17451</v>
      </c>
      <c r="F38" s="4"/>
    </row>
    <row r="39" spans="4:5" ht="15">
      <c r="D39" s="13" t="s">
        <v>43</v>
      </c>
      <c r="E39" s="11">
        <v>0.077</v>
      </c>
    </row>
    <row r="40" spans="4:5" ht="15">
      <c r="D40" s="13" t="s">
        <v>44</v>
      </c>
      <c r="E40" s="11">
        <v>0.193</v>
      </c>
    </row>
    <row r="41" spans="4:5" ht="15">
      <c r="D41" s="13" t="s">
        <v>47</v>
      </c>
      <c r="E41" s="6">
        <v>16251</v>
      </c>
    </row>
    <row r="42" spans="4:5" ht="15">
      <c r="D42" s="13" t="s">
        <v>50</v>
      </c>
      <c r="E42" s="14">
        <v>36</v>
      </c>
    </row>
    <row r="43" spans="4:5" ht="15">
      <c r="D43" s="13" t="s">
        <v>49</v>
      </c>
      <c r="E43" s="14">
        <v>83</v>
      </c>
    </row>
    <row r="44" spans="4:5" ht="15">
      <c r="D44" s="13" t="s">
        <v>52</v>
      </c>
      <c r="E44" s="6">
        <v>4490</v>
      </c>
    </row>
    <row r="45" spans="4:5" ht="15">
      <c r="D45" s="13" t="s">
        <v>53</v>
      </c>
      <c r="E45" s="6">
        <v>24950</v>
      </c>
    </row>
    <row r="46" spans="4:5" ht="15">
      <c r="D46" s="13" t="s">
        <v>54</v>
      </c>
      <c r="E46" s="6">
        <v>26572</v>
      </c>
    </row>
  </sheetData>
  <sheetProtection/>
  <mergeCells count="5">
    <mergeCell ref="D35:E35"/>
    <mergeCell ref="D5:E5"/>
    <mergeCell ref="F5:G5"/>
    <mergeCell ref="D26:E26"/>
    <mergeCell ref="F26:G26"/>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11.421875" defaultRowHeight="12.75"/>
  <cols>
    <col min="2" max="7" width="15.7109375" style="0" customWidth="1"/>
  </cols>
  <sheetData>
    <row r="1" spans="1:9" ht="15">
      <c r="A1" s="18" t="s">
        <v>62</v>
      </c>
      <c r="I1" s="1"/>
    </row>
    <row r="2" spans="1:9" ht="15">
      <c r="A2" s="4"/>
      <c r="I2" s="1"/>
    </row>
    <row r="3" spans="1:9" ht="15">
      <c r="A3" s="4"/>
      <c r="I3" s="1"/>
    </row>
    <row r="4" ht="12.75">
      <c r="I4" s="1"/>
    </row>
    <row r="5" spans="2:9" ht="15">
      <c r="B5" s="5"/>
      <c r="C5" s="5"/>
      <c r="D5" s="22" t="s">
        <v>13</v>
      </c>
      <c r="E5" s="22"/>
      <c r="F5" s="22" t="s">
        <v>23</v>
      </c>
      <c r="G5" s="22"/>
      <c r="I5" s="1"/>
    </row>
    <row r="6" spans="2:9" ht="15">
      <c r="B6" s="5"/>
      <c r="C6" s="15" t="s">
        <v>34</v>
      </c>
      <c r="D6" s="5" t="s">
        <v>14</v>
      </c>
      <c r="E6" s="6">
        <f>E7+E8-E9</f>
        <v>16794.404799999997</v>
      </c>
      <c r="F6" s="5" t="s">
        <v>14</v>
      </c>
      <c r="G6" s="6">
        <f>G18+G19+G20</f>
        <v>11575.714285714286</v>
      </c>
      <c r="H6" s="12"/>
      <c r="I6" s="1"/>
    </row>
    <row r="7" spans="2:9" ht="15">
      <c r="B7" s="5" t="s">
        <v>1</v>
      </c>
      <c r="C7" s="6">
        <v>4500</v>
      </c>
      <c r="D7" s="5" t="s">
        <v>15</v>
      </c>
      <c r="E7" s="6">
        <f>C31*12*(C7+C8)</f>
        <v>8380.800000000001</v>
      </c>
      <c r="F7" s="5"/>
      <c r="G7" s="3"/>
      <c r="I7" s="1"/>
    </row>
    <row r="8" spans="2:9" ht="15">
      <c r="B8" s="5" t="s">
        <v>2</v>
      </c>
      <c r="C8" s="6">
        <f>C7</f>
        <v>4500</v>
      </c>
      <c r="D8" s="5" t="s">
        <v>16</v>
      </c>
      <c r="E8" s="6">
        <f>E21</f>
        <v>8413.604799999997</v>
      </c>
      <c r="F8" s="5" t="s">
        <v>38</v>
      </c>
      <c r="G8" s="6">
        <f>E6-G6</f>
        <v>5218.69051428571</v>
      </c>
      <c r="I8" s="1"/>
    </row>
    <row r="9" spans="2:9" ht="15">
      <c r="B9" s="5" t="s">
        <v>30</v>
      </c>
      <c r="C9" s="5">
        <v>1</v>
      </c>
      <c r="D9" s="5" t="s">
        <v>17</v>
      </c>
      <c r="E9" s="6">
        <f>E22+E23+E24</f>
        <v>0</v>
      </c>
      <c r="F9" s="5" t="s">
        <v>39</v>
      </c>
      <c r="G9" s="11">
        <f>G8/(12*(C7+C8))</f>
        <v>0.04832120846560843</v>
      </c>
      <c r="I9" s="1"/>
    </row>
    <row r="10" spans="2:9" ht="15">
      <c r="B10" s="5" t="s">
        <v>3</v>
      </c>
      <c r="C10" s="5">
        <v>2</v>
      </c>
      <c r="D10" s="5"/>
      <c r="E10" s="5"/>
      <c r="F10" s="5"/>
      <c r="G10" s="3"/>
      <c r="I10" s="1"/>
    </row>
    <row r="11" spans="2:9" ht="15">
      <c r="B11" s="5" t="s">
        <v>26</v>
      </c>
      <c r="C11" s="5">
        <v>0</v>
      </c>
      <c r="D11" s="4"/>
      <c r="E11" s="4"/>
      <c r="F11" s="4"/>
      <c r="I11" s="1"/>
    </row>
    <row r="12" spans="2:9" ht="15">
      <c r="B12" s="4"/>
      <c r="C12" s="4"/>
      <c r="D12" s="4"/>
      <c r="E12" s="4"/>
      <c r="F12" s="4"/>
      <c r="I12" s="1"/>
    </row>
    <row r="13" spans="2:7" ht="15">
      <c r="B13" s="4"/>
      <c r="C13" s="4" t="s">
        <v>0</v>
      </c>
      <c r="D13" s="4"/>
      <c r="E13" s="4"/>
      <c r="F13" s="4"/>
      <c r="G13" s="4" t="s">
        <v>0</v>
      </c>
    </row>
    <row r="14" spans="2:7" ht="15">
      <c r="B14" s="4" t="s">
        <v>1</v>
      </c>
      <c r="C14" s="6">
        <f>(1-C$26)*C7</f>
        <v>3610.8</v>
      </c>
      <c r="D14" s="4"/>
      <c r="E14" s="4"/>
      <c r="F14" s="4" t="s">
        <v>1</v>
      </c>
      <c r="G14" s="6">
        <f>(1-C$27)*C7-G18/12</f>
        <v>3415.1785714285716</v>
      </c>
    </row>
    <row r="15" spans="2:7" ht="15">
      <c r="B15" s="4" t="s">
        <v>2</v>
      </c>
      <c r="C15" s="6">
        <f>(1-C$26)*C8</f>
        <v>3610.8</v>
      </c>
      <c r="D15" s="4"/>
      <c r="E15" s="4"/>
      <c r="F15" s="4" t="s">
        <v>2</v>
      </c>
      <c r="G15" s="6">
        <f>(1-C$27)*C8-G19/12</f>
        <v>3415.1785714285716</v>
      </c>
    </row>
    <row r="16" spans="2:6" ht="15">
      <c r="B16" s="4"/>
      <c r="C16" s="4"/>
      <c r="D16" s="4"/>
      <c r="E16" s="4"/>
      <c r="F16" s="4"/>
    </row>
    <row r="17" spans="2:6" ht="15">
      <c r="B17" s="4"/>
      <c r="C17" s="4" t="s">
        <v>11</v>
      </c>
      <c r="D17" s="4"/>
      <c r="E17" s="4"/>
      <c r="F17" s="4"/>
    </row>
    <row r="18" spans="2:8" ht="15">
      <c r="B18" s="4" t="s">
        <v>1</v>
      </c>
      <c r="C18" s="6">
        <f>(1-C$26+C$33)*C7</f>
        <v>3737.3849999999998</v>
      </c>
      <c r="D18" s="4" t="s">
        <v>28</v>
      </c>
      <c r="E18" s="6">
        <f>C20*(E$28*IF(C21&gt;=D$28,IF(C21&lt;D$29,C21-D$28,D$29-D$28),0)+E$29*IF(C21&gt;=D$29,IF(C21&lt;D$30,C21-D$29,D$30-D$29),0)+E$30*IF(C21&gt;=D$30,IF(C21&lt;D$31,C21-D$30,D$31-D$30),0)+E$31*IF(C21&gt;=D$31,C21-D$31,0))</f>
        <v>7519.279799999997</v>
      </c>
      <c r="F18" s="4" t="s">
        <v>19</v>
      </c>
      <c r="G18" s="6">
        <f>12*C7*(IF(G22&lt;=F$27,1,0)*G$27+IF(G22&gt;F$27,IF(G22&lt;F$28,1,0),0)*(G$27+(G$28-G$27)*(G22-F$27)/(F$28-F$27))+IF(G22&gt;=F$28,IF(G22&lt;F$29,1,0),0)*(G$28+(G$29-G$28)*(G22-F$28)/(F$29-F$28))+IF(G22&gt;=F$29,IF(G22&lt;F$30,1,0),0)*(G$29+(G$30-G$29)*(G22-F$29)/(F$30-F$29))+IF(G22&gt;=F$30,IF(G22&lt;F$31,1,0),0)*(G$30+(G$31-G$30)*(G22-F$30)/(F$31-F$30))+IF(G22&gt;=F$31,IF(G22&lt;F$32,1,0),0)*(G$31+(G$32-G$31)*(G22-F$31)/(F$32-F$31))+IF(G22&gt;=F$32,1,0)*G$32)</f>
        <v>6537.857142857143</v>
      </c>
      <c r="H18" s="17"/>
    </row>
    <row r="19" spans="2:7" ht="15">
      <c r="B19" s="4" t="s">
        <v>2</v>
      </c>
      <c r="C19" s="6">
        <f>(1-C$26+C$33)*C8</f>
        <v>3737.3849999999998</v>
      </c>
      <c r="D19" s="4" t="s">
        <v>29</v>
      </c>
      <c r="E19" s="6">
        <f>C22*(E$28*IF(C23&gt;=D$28,IF(C23&lt;D$29,C23-D$28,D$29-D$28),0)+E$29*IF(C23&gt;=D$29,IF(C23&lt;D$30,C23-D$29,D$30-D$29),0)+E$30*IF(C23&gt;=D$30,IF(C23&lt;D$31,C23-D$30,D$31-D$30),0)+E$31*IF(C23&gt;=D$31,C23-D$31,0))</f>
        <v>13085.604799999997</v>
      </c>
      <c r="F19" s="4" t="s">
        <v>20</v>
      </c>
      <c r="G19" s="6">
        <f>12*C8*(IF(G23&lt;=F$27,1,0)*G$27+IF(G23&gt;F$27,IF(G23&lt;F$28,1,0),0)*(G$27+(G$28-G$27)*(G23-F$27)/(F$28-F$27))+IF(G23&gt;=F$28,IF(G23&lt;F$29,1,0),0)*(G$28+(G$29-G$28)*(G23-F$28)/(F$29-F$28))+IF(G23&gt;=F$29,IF(G23&lt;F$30,1,0),0)*(G$29+(G$30-G$29)*(G23-F$29)/(F$30-F$29))+IF(G23&gt;=F$30,IF(G23&lt;F$31,1,0),0)*(G$30+(G$31-G$30)*(G23-F$30)/(F$31-F$30))+IF(G23&gt;=F$31,IF(G23&lt;F$32,1,0),0)*(G$31+(G$32-G$31)*(G23-F$31)/(F$32-F$31))+IF(G23&gt;=F$32,1,0)*G$32)</f>
        <v>6537.857142857143</v>
      </c>
    </row>
    <row r="20" spans="2:7" ht="15">
      <c r="B20" s="4" t="s">
        <v>27</v>
      </c>
      <c r="C20" s="7">
        <f>C22+MIN(C10,2)*0.5+MAX(C10-2,0)*1+C11*0.5</f>
        <v>3</v>
      </c>
      <c r="D20" s="13" t="s">
        <v>31</v>
      </c>
      <c r="E20" s="14">
        <f>MAX(E18,E19-(C20-C22)*2*E33)</f>
        <v>8413.604799999997</v>
      </c>
      <c r="F20" s="4" t="s">
        <v>21</v>
      </c>
      <c r="G20" s="6">
        <f>-C10*G33</f>
        <v>-1500</v>
      </c>
    </row>
    <row r="21" spans="2:6" ht="15">
      <c r="B21" s="4" t="s">
        <v>12</v>
      </c>
      <c r="C21" s="6">
        <f>12*(C$18-MIN(0.1*C$18,$E$32/12)+C$19-MIN(0.1*C$19,$E$32/12))/C20</f>
        <v>26909.171999999995</v>
      </c>
      <c r="D21" s="13" t="s">
        <v>33</v>
      </c>
      <c r="E21" s="14">
        <f>MAX(0,E20-IF(E20&lt;E34,MIN(E20,(E34-E20)/2),0))</f>
        <v>8413.604799999997</v>
      </c>
      <c r="F21" s="4"/>
    </row>
    <row r="22" spans="2:7" ht="15">
      <c r="B22" s="4" t="s">
        <v>22</v>
      </c>
      <c r="C22" s="7">
        <f>1+MAX(C9,IF(C8&gt;0,1,0))</f>
        <v>2</v>
      </c>
      <c r="D22" s="13" t="s">
        <v>45</v>
      </c>
      <c r="E22" s="6">
        <f>(E$39*12*C18*IF(12*C18&gt;=E$36,IF(12*C18&lt;E$37,1,0),0)+E$40*(E$38-12*C18)*IF(12*C18&gt;=E$37,IF(12*C18&lt;=E$38,1,0),0))*IF(C$23&lt;=E$41+C$10*E$44,1,0)</f>
        <v>0</v>
      </c>
      <c r="F22" s="4" t="s">
        <v>1</v>
      </c>
      <c r="G22" s="6">
        <f>IF(G$34=0,C7,IF(C$22=1,C7,(C$7+C$8)/2))</f>
        <v>4500</v>
      </c>
    </row>
    <row r="23" spans="2:7" ht="15">
      <c r="B23" s="4" t="s">
        <v>12</v>
      </c>
      <c r="C23" s="6">
        <f>12*(C$18-MIN(0.1*C$18,$E$32/12)+C$19-MIN(0.1*C$19,$E$32/12))/C22</f>
        <v>40363.757999999994</v>
      </c>
      <c r="D23" s="13" t="s">
        <v>46</v>
      </c>
      <c r="E23" s="6">
        <f>(E$39*12*C19*IF(12*C19&gt;=E$36,IF(12*C19&lt;E$37,1,0),0)+E$40*(E$38-12*C19)*IF(12*C19&gt;=E$37,IF(12*C19&lt;=E$38,1,0),0))*IF(C$23&lt;=E$41+C$10*E$44,1,0)</f>
        <v>0</v>
      </c>
      <c r="F23" s="4" t="s">
        <v>2</v>
      </c>
      <c r="G23" s="6">
        <f>IF(G$34=0,C8,IF(C$22=1,C8,(C$7+C$8)/2))</f>
        <v>4500</v>
      </c>
    </row>
    <row r="24" spans="4:5" ht="15">
      <c r="D24" s="13" t="s">
        <v>51</v>
      </c>
      <c r="E24" s="14">
        <f>(E42*(C10+C11)+E43*IF(C22=2,IF(12*MIN(C18,C19)&lt;E36,1,0),0))*IF(E22+E23&gt;0,1,0)+E43*IF(C22=2,IF(12*MIN(C18,C19)&lt;E36,1,0),0)*IF(12*MAX(C18,C19)&gt;E38,IF(12*MAX(C18,C19)&lt;E45,1,0),0)</f>
        <v>0</v>
      </c>
    </row>
    <row r="25" spans="4:5" ht="15">
      <c r="D25" s="13"/>
      <c r="E25" s="14"/>
    </row>
    <row r="26" spans="2:8" ht="15">
      <c r="B26" s="4" t="s">
        <v>9</v>
      </c>
      <c r="C26" s="8">
        <f>C27+C31</f>
        <v>0.1976</v>
      </c>
      <c r="D26" s="21" t="s">
        <v>36</v>
      </c>
      <c r="E26" s="21"/>
      <c r="F26" s="21" t="s">
        <v>37</v>
      </c>
      <c r="G26" s="21"/>
      <c r="H26" s="16"/>
    </row>
    <row r="27" spans="2:8" ht="15">
      <c r="B27" s="4" t="s">
        <v>25</v>
      </c>
      <c r="C27" s="8">
        <v>0.12</v>
      </c>
      <c r="D27" s="6">
        <v>0</v>
      </c>
      <c r="E27" s="11">
        <v>0</v>
      </c>
      <c r="F27" s="9">
        <v>1100</v>
      </c>
      <c r="G27" s="10">
        <v>0.02</v>
      </c>
      <c r="H27" s="16"/>
    </row>
    <row r="28" spans="2:8" ht="15">
      <c r="B28" s="4" t="s">
        <v>4</v>
      </c>
      <c r="C28" s="8">
        <v>0.1383</v>
      </c>
      <c r="D28" s="6">
        <v>5963</v>
      </c>
      <c r="E28" s="11">
        <v>0.055</v>
      </c>
      <c r="F28" s="9">
        <v>2200</v>
      </c>
      <c r="G28" s="10">
        <v>0.08</v>
      </c>
      <c r="H28" s="16"/>
    </row>
    <row r="29" spans="2:8" ht="15">
      <c r="B29" s="4" t="s">
        <v>10</v>
      </c>
      <c r="C29" s="8">
        <v>0.12</v>
      </c>
      <c r="D29" s="6">
        <v>11896</v>
      </c>
      <c r="E29" s="11">
        <v>0.14</v>
      </c>
      <c r="F29" s="9">
        <v>5000</v>
      </c>
      <c r="G29" s="10">
        <v>0.13</v>
      </c>
      <c r="H29" s="16"/>
    </row>
    <row r="30" spans="2:7" ht="15">
      <c r="B30" s="4" t="s">
        <v>5</v>
      </c>
      <c r="C30" s="8">
        <v>0.0785</v>
      </c>
      <c r="D30" s="6">
        <v>26420</v>
      </c>
      <c r="E30" s="11">
        <v>0.3</v>
      </c>
      <c r="F30" s="9">
        <v>10000</v>
      </c>
      <c r="G30" s="10">
        <v>0.25</v>
      </c>
    </row>
    <row r="31" spans="2:7" ht="15">
      <c r="B31" s="4" t="s">
        <v>8</v>
      </c>
      <c r="C31" s="8">
        <f>0.97*0.08</f>
        <v>0.0776</v>
      </c>
      <c r="D31" s="6">
        <v>70830</v>
      </c>
      <c r="E31" s="11">
        <v>0.41</v>
      </c>
      <c r="F31" s="9">
        <v>40000</v>
      </c>
      <c r="G31" s="10">
        <v>0.5</v>
      </c>
    </row>
    <row r="32" spans="2:7" ht="15">
      <c r="B32" s="4" t="s">
        <v>7</v>
      </c>
      <c r="C32" s="8">
        <f>0.97*0.051</f>
        <v>0.04946999999999999</v>
      </c>
      <c r="D32" s="4" t="s">
        <v>24</v>
      </c>
      <c r="E32" s="6">
        <v>14157</v>
      </c>
      <c r="F32" s="9">
        <v>100000</v>
      </c>
      <c r="G32" s="10">
        <v>0.6</v>
      </c>
    </row>
    <row r="33" spans="2:7" ht="15">
      <c r="B33" s="4" t="s">
        <v>6</v>
      </c>
      <c r="C33" s="8">
        <f>0.97*0.029</f>
        <v>0.028130000000000002</v>
      </c>
      <c r="D33" s="4" t="s">
        <v>35</v>
      </c>
      <c r="E33" s="6">
        <v>2336</v>
      </c>
      <c r="F33" s="5" t="s">
        <v>18</v>
      </c>
      <c r="G33" s="6">
        <v>750</v>
      </c>
    </row>
    <row r="34" spans="4:7" ht="15">
      <c r="D34" s="13" t="s">
        <v>32</v>
      </c>
      <c r="E34" s="6">
        <v>878</v>
      </c>
      <c r="F34" s="4" t="s">
        <v>55</v>
      </c>
      <c r="G34" s="19">
        <v>0</v>
      </c>
    </row>
    <row r="35" spans="2:6" ht="15">
      <c r="B35" s="4"/>
      <c r="D35" s="20" t="s">
        <v>48</v>
      </c>
      <c r="E35" s="21"/>
      <c r="F35" s="4"/>
    </row>
    <row r="36" spans="4:6" ht="15">
      <c r="D36" s="13" t="s">
        <v>40</v>
      </c>
      <c r="E36" s="6">
        <v>3743</v>
      </c>
      <c r="F36" s="4"/>
    </row>
    <row r="37" spans="4:6" ht="15">
      <c r="D37" s="13" t="s">
        <v>42</v>
      </c>
      <c r="E37" s="6">
        <v>12475</v>
      </c>
      <c r="F37" s="4"/>
    </row>
    <row r="38" spans="4:6" ht="15">
      <c r="D38" s="13" t="s">
        <v>41</v>
      </c>
      <c r="E38" s="6">
        <v>17451</v>
      </c>
      <c r="F38" s="4"/>
    </row>
    <row r="39" spans="4:5" ht="15">
      <c r="D39" s="13" t="s">
        <v>43</v>
      </c>
      <c r="E39" s="11">
        <v>0.077</v>
      </c>
    </row>
    <row r="40" spans="4:5" ht="15">
      <c r="D40" s="13" t="s">
        <v>44</v>
      </c>
      <c r="E40" s="11">
        <v>0.193</v>
      </c>
    </row>
    <row r="41" spans="4:5" ht="15">
      <c r="D41" s="13" t="s">
        <v>47</v>
      </c>
      <c r="E41" s="6">
        <v>16251</v>
      </c>
    </row>
    <row r="42" spans="4:5" ht="15">
      <c r="D42" s="13" t="s">
        <v>50</v>
      </c>
      <c r="E42" s="14">
        <v>36</v>
      </c>
    </row>
    <row r="43" spans="4:5" ht="15">
      <c r="D43" s="13" t="s">
        <v>49</v>
      </c>
      <c r="E43" s="14">
        <v>83</v>
      </c>
    </row>
    <row r="44" spans="4:5" ht="15">
      <c r="D44" s="13" t="s">
        <v>52</v>
      </c>
      <c r="E44" s="6">
        <v>4490</v>
      </c>
    </row>
    <row r="45" spans="4:5" ht="15">
      <c r="D45" s="13" t="s">
        <v>53</v>
      </c>
      <c r="E45" s="6">
        <v>24950</v>
      </c>
    </row>
    <row r="46" spans="4:5" ht="15">
      <c r="D46" s="13" t="s">
        <v>54</v>
      </c>
      <c r="E46" s="6">
        <v>26572</v>
      </c>
    </row>
  </sheetData>
  <sheetProtection/>
  <mergeCells count="5">
    <mergeCell ref="D35:E35"/>
    <mergeCell ref="D5:E5"/>
    <mergeCell ref="F5:G5"/>
    <mergeCell ref="D26:E26"/>
    <mergeCell ref="F26:G2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IGF</dc:creator>
  <cp:keywords/>
  <dc:description/>
  <cp:lastModifiedBy>t.piketty</cp:lastModifiedBy>
  <dcterms:created xsi:type="dcterms:W3CDTF">2011-10-17T12:45:46Z</dcterms:created>
  <dcterms:modified xsi:type="dcterms:W3CDTF">2012-01-26T17:08:49Z</dcterms:modified>
  <cp:category/>
  <cp:version/>
  <cp:contentType/>
  <cp:contentStatus/>
</cp:coreProperties>
</file>