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firstSheet="3" activeTab="3"/>
  </bookViews>
  <sheets>
    <sheet name="Avertissement" sheetId="1" r:id="rId1"/>
    <sheet name="Barèmes1980-2010" sheetId="2" r:id="rId2"/>
    <sheet name="Barèmes1980-2010(Ratios)" sheetId="3" r:id="rId3"/>
    <sheet name="NAllocataires1990-2009(FE)" sheetId="4" r:id="rId4"/>
    <sheet name="NAllocataires1990-2009(FM)" sheetId="5" r:id="rId5"/>
    <sheet name="RMI31-12-2007&amp;2008(HvsF)" sheetId="6" r:id="rId6"/>
    <sheet name="RSA31-12-2009" sheetId="7" r:id="rId7"/>
    <sheet name="RSA31-12-2009(HvsF)" sheetId="8" r:id="rId8"/>
  </sheets>
  <definedNames>
    <definedName name="_ftn1" localSheetId="0">'Avertissement'!#REF!</definedName>
    <definedName name="_ftnref1" localSheetId="0">'Avertissement'!#REF!</definedName>
    <definedName name="_xlnm.Print_Area" localSheetId="0">'Avertissement'!#REF!</definedName>
  </definedNames>
  <calcPr fullCalcOnLoad="1"/>
</workbook>
</file>

<file path=xl/sharedStrings.xml><?xml version="1.0" encoding="utf-8"?>
<sst xmlns="http://schemas.openxmlformats.org/spreadsheetml/2006/main" count="381" uniqueCount="156">
  <si>
    <t xml:space="preserve">    Personne isolée sans enfant</t>
  </si>
  <si>
    <t xml:space="preserve">    Personne isolée avec 1 enfant</t>
  </si>
  <si>
    <t xml:space="preserve">    Personne isolée avec 2 enfants</t>
  </si>
  <si>
    <t>Couple sans enfant</t>
  </si>
  <si>
    <t>Couple avec 1 enfant</t>
  </si>
  <si>
    <t>Couple avec 2 enfants</t>
  </si>
  <si>
    <t>Femme enceinte</t>
  </si>
  <si>
    <t>Isolé avec un enfant</t>
  </si>
  <si>
    <t>Par enfant supplémentaire</t>
  </si>
  <si>
    <t>Personne seule</t>
  </si>
  <si>
    <t>Couple</t>
  </si>
  <si>
    <t xml:space="preserve">    Personne seule</t>
  </si>
  <si>
    <t>Taux normal</t>
  </si>
  <si>
    <t>Taux majoré</t>
  </si>
  <si>
    <t>Taux 1ère année</t>
  </si>
  <si>
    <t>Série annuelle</t>
  </si>
  <si>
    <t>SMIC horaire brut en euros au 1er janvier</t>
  </si>
  <si>
    <t>Allocation de Solidarité Spécifique</t>
  </si>
  <si>
    <t>Allocation Veuvage</t>
  </si>
  <si>
    <t>Allocation aux Adultes Handicapés</t>
  </si>
  <si>
    <t xml:space="preserve">Allocation d'Insertion </t>
  </si>
  <si>
    <t>Revenu Minimum d'Insertion</t>
  </si>
  <si>
    <t>Allocation Parent Isolé</t>
  </si>
  <si>
    <t>Taux 2ème année</t>
  </si>
  <si>
    <t>Taux 3ème à 5ème année</t>
  </si>
  <si>
    <t xml:space="preserve">Allocation Supplémentaire Vieillesse </t>
  </si>
  <si>
    <t>Par enfant supplémentaire (à partir du 3ème)</t>
  </si>
  <si>
    <t xml:space="preserve">     Personne seule</t>
  </si>
  <si>
    <t xml:space="preserve">     Couple</t>
  </si>
  <si>
    <t>2 personnes</t>
  </si>
  <si>
    <t>3 personnes et plus</t>
  </si>
  <si>
    <t xml:space="preserve">    Personne seule </t>
  </si>
  <si>
    <t>Allocation Supplémentaire d'Invalidité</t>
  </si>
  <si>
    <t>Allocation d'Insertion</t>
  </si>
  <si>
    <t>Rmi</t>
  </si>
  <si>
    <t>Majoration pour la vie autonome</t>
  </si>
  <si>
    <t>Allocation Supplémentaire Vieillesse</t>
  </si>
  <si>
    <t>Montant forfaitaire du RSA</t>
  </si>
  <si>
    <t>Ancien complément d'AAH</t>
  </si>
  <si>
    <t xml:space="preserve">       montant AVTS</t>
  </si>
  <si>
    <t xml:space="preserve">       allocation supplémentaire vieillesse</t>
  </si>
  <si>
    <t xml:space="preserve">    Personne seule ou un seul allocataire dans le couple</t>
  </si>
  <si>
    <t>Personne seule ou un seul allocataire dans le couple</t>
  </si>
  <si>
    <t xml:space="preserve">    Couple</t>
  </si>
  <si>
    <t>Couple avec deux allocataires</t>
  </si>
  <si>
    <r>
      <t>Barèmes des minima sociaux : montants mensuels maximaux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janvier (en euros courants)</t>
    </r>
  </si>
  <si>
    <r>
      <t xml:space="preserve">Allocation Equivalent Retraite </t>
    </r>
    <r>
      <rPr>
        <sz val="8"/>
        <rFont val="Arial"/>
        <family val="2"/>
      </rPr>
      <t>(2)</t>
    </r>
  </si>
  <si>
    <r>
      <t xml:space="preserve">Allocation Temporaire d'Attente </t>
    </r>
    <r>
      <rPr>
        <sz val="8"/>
        <rFont val="Arial"/>
        <family val="2"/>
      </rPr>
      <t>(3)</t>
    </r>
  </si>
  <si>
    <r>
      <t xml:space="preserve">Allocation aux Adultes Handicapés </t>
    </r>
    <r>
      <rPr>
        <sz val="8"/>
        <rFont val="Arial"/>
        <family val="2"/>
      </rPr>
      <t>(4)</t>
    </r>
  </si>
  <si>
    <r>
      <t xml:space="preserve">Allocation de Solidarité aux Personnes Agées </t>
    </r>
    <r>
      <rPr>
        <sz val="8"/>
        <rFont val="Arial"/>
        <family val="2"/>
      </rPr>
      <t>(5)</t>
    </r>
  </si>
  <si>
    <r>
      <t xml:space="preserve">Allocation Equivalent Retraite </t>
    </r>
    <r>
      <rPr>
        <sz val="8"/>
        <rFont val="Arial"/>
        <family val="0"/>
      </rPr>
      <t>(2)</t>
    </r>
  </si>
  <si>
    <r>
      <t xml:space="preserve">Allocation Temporaire d'Attente </t>
    </r>
    <r>
      <rPr>
        <sz val="8"/>
        <rFont val="Arial"/>
        <family val="0"/>
      </rPr>
      <t>(3)</t>
    </r>
  </si>
  <si>
    <t xml:space="preserve">    Couple (4)</t>
  </si>
  <si>
    <r>
      <t>Allocation de Solidarité aux Personnes Agées</t>
    </r>
    <r>
      <rPr>
        <sz val="8"/>
        <rFont val="Arial"/>
        <family val="0"/>
      </rPr>
      <t xml:space="preserve"> (5)</t>
    </r>
  </si>
  <si>
    <r>
      <t>Barèmes des minima sociaux : plafonds de ressources mensuelles au 1</t>
    </r>
    <r>
      <rPr>
        <b/>
        <vertAlign val="superscript"/>
        <sz val="10"/>
        <rFont val="Arial"/>
        <family val="0"/>
      </rPr>
      <t>er</t>
    </r>
    <r>
      <rPr>
        <b/>
        <sz val="10"/>
        <rFont val="Arial"/>
        <family val="0"/>
      </rPr>
      <t xml:space="preserve"> janvier (en euros courants)</t>
    </r>
  </si>
  <si>
    <t>Montant maximal et Plafond d'un minimum social</t>
  </si>
  <si>
    <t>Montants et plafonds</t>
  </si>
  <si>
    <t>Allocation différentielle et forfaitaire</t>
  </si>
  <si>
    <t>Indice des prix</t>
  </si>
  <si>
    <t>Séries d'indice des prix depuis 1990</t>
  </si>
  <si>
    <t>base 100 en 1998</t>
  </si>
  <si>
    <t>Série hors tabac</t>
  </si>
  <si>
    <t>janvier</t>
  </si>
  <si>
    <t>-</t>
  </si>
  <si>
    <t>moyenne annuelle</t>
  </si>
  <si>
    <t>Série incluant le tabac</t>
  </si>
  <si>
    <r>
      <t xml:space="preserve">Champ : </t>
    </r>
    <r>
      <rPr>
        <sz val="8"/>
        <rFont val="Arial"/>
        <family val="0"/>
      </rPr>
      <t>France entière, ensemble des ménages</t>
    </r>
  </si>
  <si>
    <r>
      <t>Source</t>
    </r>
    <r>
      <rPr>
        <sz val="8"/>
        <rFont val="Arial"/>
        <family val="0"/>
      </rPr>
      <t xml:space="preserve"> : INSEE, calculs DREES</t>
    </r>
  </si>
  <si>
    <t xml:space="preserve">        Montant de base</t>
  </si>
  <si>
    <t xml:space="preserve">        Montant majoré</t>
  </si>
  <si>
    <t>Forfait logement déductible du RMI, de l'API et du RSA</t>
  </si>
  <si>
    <r>
      <t xml:space="preserve">Revenu de Solidarité Active </t>
    </r>
    <r>
      <rPr>
        <sz val="8"/>
        <rFont val="Arial"/>
        <family val="2"/>
      </rPr>
      <t>(1)</t>
    </r>
  </si>
  <si>
    <t>10 minima sociaux et une prestation hybride</t>
  </si>
  <si>
    <t>Le RSA</t>
  </si>
  <si>
    <t>Nombre d'allocataires du RSA au 31 décembre de chaque année en France métropolitaine</t>
  </si>
  <si>
    <t>RSA socle seul</t>
  </si>
  <si>
    <t>RSA socle + activité</t>
  </si>
  <si>
    <t>RSA activité seul</t>
  </si>
  <si>
    <t>Total</t>
  </si>
  <si>
    <r>
      <t>Sources</t>
    </r>
    <r>
      <rPr>
        <sz val="8"/>
        <rFont val="Arial"/>
        <family val="0"/>
      </rPr>
      <t xml:space="preserve"> : CNAF, MSA</t>
    </r>
  </si>
  <si>
    <r>
      <t>Champ</t>
    </r>
    <r>
      <rPr>
        <sz val="8"/>
        <rFont val="Arial"/>
        <family val="0"/>
      </rPr>
      <t xml:space="preserve"> : France métropolitaine</t>
    </r>
  </si>
  <si>
    <t>Données nationales par dispositif - France entière</t>
  </si>
  <si>
    <t>2006*</t>
  </si>
  <si>
    <t>Revenu minimum d'insertion (RMI)</t>
  </si>
  <si>
    <t>Allocation de parent isolé (API)</t>
  </si>
  <si>
    <t>Allocation aux adultes handicapés (AAH)</t>
  </si>
  <si>
    <t>Allocation supplémentaire d'invalidité (ASI)</t>
  </si>
  <si>
    <t>Allocation de solidarité spécifique (ASS)</t>
  </si>
  <si>
    <t>Allocation d'insertion (AI) ou Allocation temporaire d'attente (ATA) (1)</t>
  </si>
  <si>
    <t>Allocation supplémentaire vieillesse (ASV) et allocation de solidarité aux personnes âgées (ASPA) (2)</t>
  </si>
  <si>
    <t>585 550**</t>
  </si>
  <si>
    <t>Allocation veuvage (AV)</t>
  </si>
  <si>
    <t>Allocation équivalent retraite - remplacement (AER)</t>
  </si>
  <si>
    <t>Revenu de solidarité (RSO)</t>
  </si>
  <si>
    <t>Revenu de solidarité active (RSA) socle</t>
  </si>
  <si>
    <t>Ensemble</t>
  </si>
  <si>
    <t>(1) l'ATA remplace l'AI pour les entrées à compter du 16 novembre 2006.</t>
  </si>
  <si>
    <t>(2) L'ASPA est entrée en vigueur le 13 janvier 2007. Elle se substitue, pour les nouveaux bénéficiaires, aux anciennes allocations du minimum vieillesse, notamment à l'ASV.</t>
  </si>
  <si>
    <t>(3) Le RSA remplace le RMI et l'API en France métropolitaine à compter du 01/06/2009. Seule une partie du RSA (le RSA socle) est considérée comme un minimum social.</t>
  </si>
  <si>
    <t>Les données ASS, AI-ATA et AER sont provisoires pour l'année 2009.</t>
  </si>
  <si>
    <t>* Les données de l'ASI 2006 ont été révisées en décembre 2008</t>
  </si>
  <si>
    <t xml:space="preserve">** : données au 31/12/2007 révisées en août 2009 (révision à la baisse pour le RSI-Artisans suite à une modification de méthodologie, effectifs définitifs pour DOM MSA, </t>
  </si>
  <si>
    <t>introduction de données CNBF)</t>
  </si>
  <si>
    <r>
      <t>Champ</t>
    </r>
    <r>
      <rPr>
        <sz val="8"/>
        <rFont val="Arial"/>
        <family val="0"/>
      </rPr>
      <t xml:space="preserve"> : France entière.</t>
    </r>
  </si>
  <si>
    <r>
      <t>Sources</t>
    </r>
    <r>
      <rPr>
        <sz val="8"/>
        <rFont val="Arial"/>
        <family val="0"/>
      </rPr>
      <t xml:space="preserve"> : Cnamts, Cnaf, Msa, Drees, Pôle emploi, Fsv, Cnav, Cdc, régime des caisses des DOM</t>
    </r>
  </si>
  <si>
    <t>Données nationales par dispositif - France métropolitaine</t>
  </si>
  <si>
    <t>516 750**</t>
  </si>
  <si>
    <t>Revenu de solidarité active (RSA) socle (3)</t>
  </si>
  <si>
    <r>
      <t>Champ</t>
    </r>
    <r>
      <rPr>
        <sz val="8"/>
        <rFont val="Arial"/>
        <family val="0"/>
      </rPr>
      <t xml:space="preserve"> : France métropolitaine.</t>
    </r>
  </si>
  <si>
    <r>
      <t>Sources</t>
    </r>
    <r>
      <rPr>
        <sz val="8"/>
        <rFont val="Arial"/>
        <family val="0"/>
      </rPr>
      <t xml:space="preserve"> : Cnamts, Cnaf, Msa, Drees, Pôle emploi, Fsv, Cnav, Cdc</t>
    </r>
  </si>
  <si>
    <t>Répartition par sexe et situation familiale des bénéficiaires du RSA au 31 décembre 2009</t>
  </si>
  <si>
    <t>Effectifs</t>
  </si>
  <si>
    <t>%</t>
  </si>
  <si>
    <t>Hommes</t>
  </si>
  <si>
    <t>hommes seuls sans personne à charge</t>
  </si>
  <si>
    <t>hommes seuls avec 1 personne à charge</t>
  </si>
  <si>
    <t>hommes seuls avec 2 personnes à charge ou +</t>
  </si>
  <si>
    <t>hommes en couple sans personne à charge</t>
  </si>
  <si>
    <t>hommes en couple avec 1 personne à charge</t>
  </si>
  <si>
    <t>hommes en couple avec 2 personnes à charge</t>
  </si>
  <si>
    <t>hommes en couple avec 3 personnes à charge</t>
  </si>
  <si>
    <t>hommes en couple avec 4 personnes à charge ou +</t>
  </si>
  <si>
    <t>Femmes</t>
  </si>
  <si>
    <t>femmes seules sans personne à charge</t>
  </si>
  <si>
    <t>femmes seules avec 1 personne à charge</t>
  </si>
  <si>
    <t>femmes seules avec 2 personnes à charge</t>
  </si>
  <si>
    <t>femmes seules avec 3 personnes à charge ou +</t>
  </si>
  <si>
    <t>femmes en couple sans personne à charge</t>
  </si>
  <si>
    <t>femmes en couple avec 1 personne à charge</t>
  </si>
  <si>
    <t>femmes en couple avec 2 personnes à charge</t>
  </si>
  <si>
    <t>femmes en couple avec 3 personnes à charge</t>
  </si>
  <si>
    <t>femmes en couple avec 4 personnes à charge ou +</t>
  </si>
  <si>
    <r>
      <t>Note</t>
    </r>
    <r>
      <rPr>
        <sz val="8"/>
        <rFont val="Arial"/>
        <family val="0"/>
      </rPr>
      <t xml:space="preserve"> : compte tenu du caractère familial de l'allocation, les effectifs englobent à la fois les allocataires administratifs et leur conjoint.</t>
    </r>
  </si>
  <si>
    <r>
      <t>Lecture</t>
    </r>
    <r>
      <rPr>
        <sz val="8"/>
        <rFont val="Arial"/>
        <family val="0"/>
      </rPr>
      <t xml:space="preserve"> : Au 31 décembre 2009, 852 589 bénéficiaires du RSA sont des hommes ; ils représentent 42,4% des bénéficiaires du RSA.</t>
    </r>
  </si>
  <si>
    <r>
      <t>Source</t>
    </r>
    <r>
      <rPr>
        <sz val="8"/>
        <rFont val="Arial"/>
        <family val="0"/>
      </rPr>
      <t xml:space="preserve"> : CNAF</t>
    </r>
  </si>
  <si>
    <t>Répartition des bénéficiaires des cinq principaux minima sociaux selon le sexe au 31 décembre 2008</t>
  </si>
  <si>
    <t>RMI</t>
  </si>
  <si>
    <t>API</t>
  </si>
  <si>
    <t>ASS</t>
  </si>
  <si>
    <t>AAH</t>
  </si>
  <si>
    <t>Minimum vieillesse</t>
  </si>
  <si>
    <t>Effectif</t>
  </si>
  <si>
    <t>englobent à la fois les allocatires administratifs et les conjoints), API : allocation de parent isolé,</t>
  </si>
  <si>
    <t>ASS : allocation de solidarité spécifique, AAH : allocation adulte handicapé</t>
  </si>
  <si>
    <t>Répartition des bénéficiaires des cinq principaux minima sociaux selon le sexe au 31 décembre 2007</t>
  </si>
  <si>
    <r>
      <t>Note</t>
    </r>
    <r>
      <rPr>
        <sz val="8"/>
        <rFont val="Arial"/>
        <family val="0"/>
      </rPr>
      <t xml:space="preserve"> : RMI : revenu minimum d'insertion (compte tenu du caractère familial de l'allocation, les effectifs</t>
    </r>
  </si>
  <si>
    <r>
      <t>Champ</t>
    </r>
    <r>
      <rPr>
        <sz val="8"/>
        <rFont val="Arial"/>
        <family val="0"/>
      </rPr>
      <t xml:space="preserve"> : France entière</t>
    </r>
  </si>
  <si>
    <r>
      <t>Sources</t>
    </r>
    <r>
      <rPr>
        <sz val="8"/>
        <rFont val="Arial"/>
        <family val="0"/>
      </rPr>
      <t xml:space="preserve"> : Cnaf, Msa, Pôle emploi, Cnav, calculs Drees</t>
    </r>
  </si>
  <si>
    <t>Revenu Minimum d'Insertion (% BMAF)</t>
  </si>
  <si>
    <r>
      <t xml:space="preserve">    Personne isolée sans enfant </t>
    </r>
    <r>
      <rPr>
        <b/>
        <sz val="8"/>
        <rFont val="Arial"/>
        <family val="2"/>
      </rPr>
      <t>(% RMI personne seule)</t>
    </r>
  </si>
  <si>
    <t>BMAF</t>
  </si>
  <si>
    <t xml:space="preserve">        Montant majoré (API)</t>
  </si>
  <si>
    <t>% RMI</t>
  </si>
  <si>
    <t>%BMAF</t>
  </si>
  <si>
    <t>Forfait logement déductible du RMI-API-RSA (% RMI)</t>
  </si>
  <si>
    <t>Allocation Parent Isolé (% BMAF)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</si>
</sst>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    &quot;@"/>
    <numFmt numFmtId="165" formatCode="0.0%"/>
    <numFmt numFmtId="166" formatCode="0.0"/>
    <numFmt numFmtId="167" formatCode="0.000000"/>
    <numFmt numFmtId="168" formatCode="0.00000"/>
    <numFmt numFmtId="169" formatCode="0.0000"/>
    <numFmt numFmtId="170" formatCode="0.000"/>
    <numFmt numFmtId="171" formatCode="&quot;Vrai&quot;;&quot;Vrai&quot;;&quot;Faux&quot;"/>
    <numFmt numFmtId="172" formatCode="&quot;Actif&quot;;&quot;Actif&quot;;&quot;Inactif&quot;"/>
    <numFmt numFmtId="173" formatCode="0.0000000"/>
    <numFmt numFmtId="174" formatCode="0.00000000"/>
    <numFmt numFmtId="175" formatCode="0.000000000"/>
    <numFmt numFmtId="176" formatCode="#,##0\ _€"/>
    <numFmt numFmtId="177" formatCode="#,##0\ &quot;F&quot;;\-#,##0\ &quot;F&quot;"/>
    <numFmt numFmtId="178" formatCode="#,##0\ &quot;F&quot;;[Red]\-#,##0\ &quot;F&quot;"/>
    <numFmt numFmtId="179" formatCode="#,##0.00\ &quot;F&quot;;\-#,##0.00\ &quot;F&quot;"/>
    <numFmt numFmtId="180" formatCode="#,##0.00\ &quot;F&quot;;[Red]\-#,##0.00\ &quot;F&quot;"/>
    <numFmt numFmtId="181" formatCode="_-* #,##0\ &quot;F&quot;_-;\-* #,##0\ &quot;F&quot;_-;_-* &quot;-&quot;\ &quot;F&quot;_-;_-@_-"/>
    <numFmt numFmtId="182" formatCode="_-* #,##0\ _F_-;\-* #,##0\ _F_-;_-* &quot;-&quot;\ _F_-;_-@_-"/>
    <numFmt numFmtId="183" formatCode="_-* #,##0.00\ &quot;F&quot;_-;\-* #,##0.00\ &quot;F&quot;_-;_-* &quot;-&quot;??\ &quot;F&quot;_-;_-@_-"/>
    <numFmt numFmtId="184" formatCode="_-* #,##0.00\ _F_-;\-* #,##0.00\ _F_-;_-* &quot;-&quot;??\ _F_-;_-@_-"/>
    <numFmt numFmtId="185" formatCode="_-* #,##0\ _€_-;\-* #,##0\ _€_-;_-* &quot;-&quot;??\ _€_-;_-@_-"/>
    <numFmt numFmtId="186" formatCode="#,##0&quot;  &quot;"/>
    <numFmt numFmtId="187" formatCode="#,##0.0"/>
    <numFmt numFmtId="188" formatCode="#,##0.0&quot; &quot;"/>
    <numFmt numFmtId="189" formatCode="0.000%"/>
    <numFmt numFmtId="190" formatCode="0.0&quot;  &quot;"/>
    <numFmt numFmtId="191" formatCode="#,##0.000"/>
    <numFmt numFmtId="192" formatCode="#,##0&quot; &quot;"/>
    <numFmt numFmtId="193" formatCode="#,##0;#,##0;_;"/>
    <numFmt numFmtId="194" formatCode="#,##0.00\ _€"/>
    <numFmt numFmtId="195" formatCode="0.0000%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1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1" fontId="2" fillId="2" borderId="0" xfId="0" applyNumberFormat="1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2" fontId="2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1" fontId="6" fillId="2" borderId="0" xfId="0" applyNumberFormat="1" applyFont="1" applyFill="1" applyBorder="1" applyAlignment="1">
      <alignment/>
    </xf>
    <xf numFmtId="1" fontId="2" fillId="2" borderId="0" xfId="0" applyNumberFormat="1" applyFont="1" applyFill="1" applyAlignment="1">
      <alignment/>
    </xf>
    <xf numFmtId="1" fontId="7" fillId="2" borderId="0" xfId="0" applyNumberFormat="1" applyFont="1" applyFill="1" applyBorder="1" applyAlignment="1" quotePrefix="1">
      <alignment/>
    </xf>
    <xf numFmtId="0" fontId="2" fillId="2" borderId="0" xfId="0" applyFont="1" applyFill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1" fontId="2" fillId="2" borderId="3" xfId="0" applyNumberFormat="1" applyFont="1" applyFill="1" applyBorder="1" applyAlignment="1">
      <alignment/>
    </xf>
    <xf numFmtId="1" fontId="2" fillId="2" borderId="2" xfId="0" applyNumberFormat="1" applyFont="1" applyFill="1" applyBorder="1" applyAlignment="1">
      <alignment/>
    </xf>
    <xf numFmtId="1" fontId="2" fillId="2" borderId="3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0" fontId="6" fillId="2" borderId="2" xfId="0" applyFont="1" applyFill="1" applyBorder="1" applyAlignment="1">
      <alignment vertical="center" wrapText="1"/>
    </xf>
    <xf numFmtId="1" fontId="2" fillId="2" borderId="2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0" fontId="6" fillId="2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/>
    </xf>
    <xf numFmtId="2" fontId="2" fillId="2" borderId="4" xfId="0" applyNumberFormat="1" applyFont="1" applyFill="1" applyBorder="1" applyAlignment="1">
      <alignment/>
    </xf>
    <xf numFmtId="164" fontId="2" fillId="2" borderId="3" xfId="0" applyNumberFormat="1" applyFont="1" applyFill="1" applyBorder="1" applyAlignment="1">
      <alignment vertical="center"/>
    </xf>
    <xf numFmtId="1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7" fillId="2" borderId="0" xfId="0" applyFont="1" applyFill="1" applyAlignment="1">
      <alignment/>
    </xf>
    <xf numFmtId="0" fontId="8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/>
    </xf>
    <xf numFmtId="164" fontId="2" fillId="2" borderId="3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left" indent="1"/>
    </xf>
    <xf numFmtId="1" fontId="6" fillId="2" borderId="3" xfId="0" applyNumberFormat="1" applyFont="1" applyFill="1" applyBorder="1" applyAlignment="1">
      <alignment/>
    </xf>
    <xf numFmtId="164" fontId="2" fillId="2" borderId="4" xfId="0" applyNumberFormat="1" applyFont="1" applyFill="1" applyBorder="1" applyAlignment="1">
      <alignment/>
    </xf>
    <xf numFmtId="1" fontId="6" fillId="2" borderId="4" xfId="0" applyNumberFormat="1" applyFont="1" applyFill="1" applyBorder="1" applyAlignment="1">
      <alignment/>
    </xf>
    <xf numFmtId="1" fontId="2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0" fontId="6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1" fontId="2" fillId="2" borderId="0" xfId="0" applyNumberFormat="1" applyFont="1" applyFill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1" fontId="2" fillId="2" borderId="3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1" fontId="2" fillId="2" borderId="2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1" fontId="2" fillId="2" borderId="3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1" fontId="2" fillId="2" borderId="2" xfId="0" applyNumberFormat="1" applyFont="1" applyFill="1" applyBorder="1" applyAlignment="1">
      <alignment/>
    </xf>
    <xf numFmtId="2" fontId="6" fillId="2" borderId="2" xfId="0" applyNumberFormat="1" applyFont="1" applyFill="1" applyBorder="1" applyAlignment="1">
      <alignment/>
    </xf>
    <xf numFmtId="2" fontId="6" fillId="2" borderId="3" xfId="0" applyNumberFormat="1" applyFont="1" applyFill="1" applyBorder="1" applyAlignment="1">
      <alignment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/>
    </xf>
    <xf numFmtId="0" fontId="6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/>
    </xf>
    <xf numFmtId="164" fontId="2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166" fontId="2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66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left" vertical="center"/>
    </xf>
    <xf numFmtId="164" fontId="2" fillId="2" borderId="5" xfId="0" applyNumberFormat="1" applyFont="1" applyFill="1" applyBorder="1" applyAlignment="1">
      <alignment/>
    </xf>
    <xf numFmtId="1" fontId="6" fillId="2" borderId="5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/>
    </xf>
    <xf numFmtId="1" fontId="6" fillId="2" borderId="6" xfId="0" applyNumberFormat="1" applyFont="1" applyFill="1" applyBorder="1" applyAlignment="1">
      <alignment horizontal="left" vertical="center"/>
    </xf>
    <xf numFmtId="1" fontId="6" fillId="2" borderId="6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/>
    </xf>
    <xf numFmtId="1" fontId="2" fillId="2" borderId="4" xfId="0" applyNumberFormat="1" applyFont="1" applyFill="1" applyBorder="1" applyAlignment="1">
      <alignment/>
    </xf>
    <xf numFmtId="1" fontId="6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/>
    </xf>
    <xf numFmtId="176" fontId="2" fillId="2" borderId="1" xfId="0" applyNumberFormat="1" applyFont="1" applyFill="1" applyBorder="1" applyAlignment="1">
      <alignment horizontal="center"/>
    </xf>
    <xf numFmtId="176" fontId="6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176" fontId="2" fillId="0" borderId="8" xfId="21" applyNumberFormat="1" applyFont="1" applyFill="1" applyBorder="1" applyAlignment="1">
      <alignment horizontal="center" vertical="center"/>
      <protection/>
    </xf>
    <xf numFmtId="176" fontId="2" fillId="0" borderId="3" xfId="21" applyNumberFormat="1" applyFont="1" applyFill="1" applyBorder="1" applyAlignment="1">
      <alignment horizontal="center" vertical="center"/>
      <protection/>
    </xf>
    <xf numFmtId="176" fontId="2" fillId="0" borderId="9" xfId="21" applyNumberFormat="1" applyFont="1" applyFill="1" applyBorder="1" applyAlignment="1">
      <alignment horizontal="center" vertical="center"/>
      <protection/>
    </xf>
    <xf numFmtId="176" fontId="2" fillId="0" borderId="1" xfId="21" applyNumberFormat="1" applyFont="1" applyFill="1" applyBorder="1" applyAlignment="1">
      <alignment horizontal="center" vertical="center"/>
      <protection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70" fontId="2" fillId="2" borderId="0" xfId="0" applyNumberFormat="1" applyFont="1" applyFill="1" applyBorder="1" applyAlignment="1">
      <alignment horizontal="center" vertical="center" wrapText="1"/>
    </xf>
    <xf numFmtId="170" fontId="2" fillId="2" borderId="0" xfId="0" applyNumberFormat="1" applyFont="1" applyFill="1" applyAlignment="1">
      <alignment/>
    </xf>
    <xf numFmtId="166" fontId="2" fillId="2" borderId="0" xfId="0" applyNumberFormat="1" applyFont="1" applyFill="1" applyAlignment="1">
      <alignment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8" fillId="2" borderId="0" xfId="0" applyFont="1" applyFill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7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70" fontId="2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6" fontId="2" fillId="2" borderId="0" xfId="0" applyNumberFormat="1" applyFont="1" applyFill="1" applyAlignment="1">
      <alignment horizontal="center"/>
    </xf>
    <xf numFmtId="176" fontId="2" fillId="2" borderId="0" xfId="0" applyNumberFormat="1" applyFont="1" applyFill="1" applyAlignment="1">
      <alignment/>
    </xf>
    <xf numFmtId="0" fontId="2" fillId="2" borderId="7" xfId="0" applyFont="1" applyFill="1" applyBorder="1" applyAlignment="1">
      <alignment/>
    </xf>
    <xf numFmtId="176" fontId="6" fillId="2" borderId="1" xfId="0" applyNumberFormat="1" applyFont="1" applyFill="1" applyBorder="1" applyAlignment="1">
      <alignment/>
    </xf>
    <xf numFmtId="166" fontId="6" fillId="2" borderId="1" xfId="0" applyNumberFormat="1" applyFont="1" applyFill="1" applyBorder="1" applyAlignment="1">
      <alignment horizontal="center"/>
    </xf>
    <xf numFmtId="176" fontId="2" fillId="2" borderId="1" xfId="0" applyNumberFormat="1" applyFont="1" applyFill="1" applyBorder="1" applyAlignment="1">
      <alignment/>
    </xf>
    <xf numFmtId="166" fontId="0" fillId="2" borderId="0" xfId="0" applyNumberFormat="1" applyFill="1" applyAlignment="1">
      <alignment/>
    </xf>
    <xf numFmtId="176" fontId="6" fillId="2" borderId="0" xfId="0" applyNumberFormat="1" applyFont="1" applyFill="1" applyBorder="1" applyAlignment="1">
      <alignment/>
    </xf>
    <xf numFmtId="166" fontId="6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/>
    </xf>
    <xf numFmtId="3" fontId="2" fillId="2" borderId="11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2" fontId="12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65" fontId="2" fillId="2" borderId="3" xfId="0" applyNumberFormat="1" applyFont="1" applyFill="1" applyBorder="1" applyAlignment="1">
      <alignment/>
    </xf>
    <xf numFmtId="165" fontId="2" fillId="2" borderId="2" xfId="0" applyNumberFormat="1" applyFont="1" applyFill="1" applyBorder="1" applyAlignment="1">
      <alignment/>
    </xf>
    <xf numFmtId="2" fontId="6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10" fontId="2" fillId="2" borderId="3" xfId="0" applyNumberFormat="1" applyFont="1" applyFill="1" applyBorder="1" applyAlignment="1">
      <alignment/>
    </xf>
    <xf numFmtId="165" fontId="6" fillId="2" borderId="3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0.emf" /><Relationship Id="rId3" Type="http://schemas.openxmlformats.org/officeDocument/2006/relationships/image" Target="../media/image2.emf" /><Relationship Id="rId4" Type="http://schemas.openxmlformats.org/officeDocument/2006/relationships/image" Target="../media/image8.emf" /><Relationship Id="rId5" Type="http://schemas.openxmlformats.org/officeDocument/2006/relationships/image" Target="../media/image6.emf" /><Relationship Id="rId6" Type="http://schemas.openxmlformats.org/officeDocument/2006/relationships/image" Target="../media/image9.emf" /><Relationship Id="rId7" Type="http://schemas.openxmlformats.org/officeDocument/2006/relationships/image" Target="../media/image5.emf" /><Relationship Id="rId8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1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80" customWidth="1"/>
    <col min="2" max="16384" width="11.421875" style="80" customWidth="1"/>
  </cols>
  <sheetData>
    <row r="1" spans="2:9" ht="15" customHeight="1">
      <c r="B1" s="77" t="s">
        <v>72</v>
      </c>
      <c r="C1" s="78"/>
      <c r="D1" s="78"/>
      <c r="E1" s="78"/>
      <c r="F1" s="78"/>
      <c r="G1" s="78"/>
      <c r="H1" s="78"/>
      <c r="I1" s="79"/>
    </row>
    <row r="2" spans="2:9" ht="12.75">
      <c r="B2" s="81"/>
      <c r="C2" s="82"/>
      <c r="D2" s="82"/>
      <c r="E2" s="82"/>
      <c r="F2" s="82"/>
      <c r="G2" s="82"/>
      <c r="H2" s="82"/>
      <c r="I2" s="47"/>
    </row>
    <row r="3" spans="2:9" ht="12.75">
      <c r="B3" s="81"/>
      <c r="C3" s="82"/>
      <c r="D3" s="82"/>
      <c r="E3" s="82"/>
      <c r="F3" s="82"/>
      <c r="G3" s="82"/>
      <c r="H3" s="82"/>
      <c r="I3" s="47"/>
    </row>
    <row r="4" spans="2:9" ht="12.75">
      <c r="B4" s="81"/>
      <c r="C4" s="82"/>
      <c r="D4" s="82"/>
      <c r="E4" s="82"/>
      <c r="F4" s="82"/>
      <c r="G4" s="82"/>
      <c r="H4" s="82"/>
      <c r="I4" s="47"/>
    </row>
    <row r="5" spans="2:9" ht="12.75">
      <c r="B5" s="82"/>
      <c r="C5" s="82"/>
      <c r="D5" s="82"/>
      <c r="E5" s="82"/>
      <c r="F5" s="82"/>
      <c r="G5" s="82"/>
      <c r="H5" s="82"/>
      <c r="I5" s="47"/>
    </row>
    <row r="6" spans="2:9" ht="12.75">
      <c r="B6" s="82"/>
      <c r="C6" s="82"/>
      <c r="D6" s="82"/>
      <c r="E6" s="82"/>
      <c r="F6" s="82"/>
      <c r="G6" s="82"/>
      <c r="H6" s="82"/>
      <c r="I6" s="47"/>
    </row>
    <row r="7" spans="2:9" ht="12.75">
      <c r="B7" s="82"/>
      <c r="C7" s="82"/>
      <c r="D7" s="82"/>
      <c r="E7" s="82"/>
      <c r="F7" s="82"/>
      <c r="G7" s="82"/>
      <c r="H7" s="82"/>
      <c r="I7" s="47"/>
    </row>
    <row r="8" spans="2:9" ht="12.75">
      <c r="B8" s="82"/>
      <c r="C8" s="82"/>
      <c r="D8" s="82"/>
      <c r="E8" s="82"/>
      <c r="F8" s="82"/>
      <c r="G8" s="82"/>
      <c r="H8" s="82"/>
      <c r="I8" s="47"/>
    </row>
    <row r="9" spans="2:9" ht="12.75">
      <c r="B9" s="82"/>
      <c r="C9" s="82"/>
      <c r="D9" s="82"/>
      <c r="E9" s="82"/>
      <c r="F9" s="82"/>
      <c r="G9" s="82"/>
      <c r="H9" s="82"/>
      <c r="I9" s="47"/>
    </row>
    <row r="10" spans="2:9" ht="12.75">
      <c r="B10" s="82"/>
      <c r="C10" s="82"/>
      <c r="D10" s="82"/>
      <c r="E10" s="82"/>
      <c r="F10" s="82"/>
      <c r="G10" s="82"/>
      <c r="H10" s="82"/>
      <c r="I10" s="47"/>
    </row>
    <row r="11" spans="2:9" ht="12.75">
      <c r="B11" s="82"/>
      <c r="C11" s="82"/>
      <c r="D11" s="82"/>
      <c r="E11" s="82"/>
      <c r="F11" s="82"/>
      <c r="G11" s="82"/>
      <c r="H11" s="82"/>
      <c r="I11" s="47"/>
    </row>
    <row r="12" spans="2:9" ht="12.75">
      <c r="B12" s="82"/>
      <c r="C12" s="82"/>
      <c r="D12" s="82"/>
      <c r="E12" s="82"/>
      <c r="F12" s="82"/>
      <c r="G12" s="82"/>
      <c r="H12" s="82"/>
      <c r="I12" s="47"/>
    </row>
    <row r="13" spans="2:9" ht="12.75">
      <c r="B13" s="82"/>
      <c r="C13" s="82"/>
      <c r="D13" s="82"/>
      <c r="E13" s="82"/>
      <c r="F13" s="82"/>
      <c r="G13" s="82"/>
      <c r="H13" s="82"/>
      <c r="I13" s="47"/>
    </row>
    <row r="14" spans="2:9" ht="12.75">
      <c r="B14" s="82"/>
      <c r="C14" s="82"/>
      <c r="D14" s="82"/>
      <c r="E14" s="82"/>
      <c r="F14" s="82"/>
      <c r="G14" s="82"/>
      <c r="H14" s="82"/>
      <c r="I14" s="47"/>
    </row>
    <row r="15" spans="2:9" ht="12.75">
      <c r="B15" s="82"/>
      <c r="C15" s="82"/>
      <c r="D15" s="82"/>
      <c r="E15" s="82"/>
      <c r="F15" s="82"/>
      <c r="G15" s="82"/>
      <c r="H15" s="82"/>
      <c r="I15" s="47"/>
    </row>
    <row r="16" spans="2:9" ht="12.75">
      <c r="B16" s="82"/>
      <c r="C16" s="82"/>
      <c r="D16" s="82"/>
      <c r="E16" s="82"/>
      <c r="F16" s="82"/>
      <c r="G16" s="82"/>
      <c r="H16" s="82"/>
      <c r="I16" s="47"/>
    </row>
    <row r="17" spans="2:9" ht="12.75">
      <c r="B17" s="82"/>
      <c r="C17" s="82"/>
      <c r="D17" s="82"/>
      <c r="E17" s="82"/>
      <c r="F17" s="82"/>
      <c r="G17" s="82"/>
      <c r="H17" s="82"/>
      <c r="I17" s="47"/>
    </row>
    <row r="18" spans="2:9" ht="12.75">
      <c r="B18" s="82"/>
      <c r="C18" s="82"/>
      <c r="D18" s="82"/>
      <c r="E18" s="82"/>
      <c r="F18" s="82"/>
      <c r="G18" s="82"/>
      <c r="H18" s="82"/>
      <c r="I18" s="47"/>
    </row>
    <row r="19" spans="2:9" ht="12.75">
      <c r="B19" s="82"/>
      <c r="C19" s="82"/>
      <c r="D19" s="82"/>
      <c r="E19" s="82"/>
      <c r="F19" s="82"/>
      <c r="G19" s="82"/>
      <c r="H19" s="82"/>
      <c r="I19" s="47"/>
    </row>
    <row r="20" spans="2:9" ht="12.75">
      <c r="B20" s="82"/>
      <c r="C20" s="82"/>
      <c r="D20" s="82"/>
      <c r="E20" s="82"/>
      <c r="F20" s="82"/>
      <c r="G20" s="82"/>
      <c r="H20" s="82"/>
      <c r="I20" s="47"/>
    </row>
    <row r="21" spans="2:9" ht="15" customHeight="1">
      <c r="B21" s="81"/>
      <c r="C21" s="83"/>
      <c r="D21" s="83"/>
      <c r="E21" s="83"/>
      <c r="F21" s="83"/>
      <c r="G21" s="83"/>
      <c r="H21" s="83"/>
      <c r="I21" s="70"/>
    </row>
    <row r="22" spans="2:9" ht="15" customHeight="1">
      <c r="B22" s="77" t="s">
        <v>55</v>
      </c>
      <c r="C22" s="77"/>
      <c r="D22" s="77"/>
      <c r="E22" s="77"/>
      <c r="F22" s="77"/>
      <c r="G22" s="77"/>
      <c r="H22" s="77"/>
      <c r="I22" s="84"/>
    </row>
    <row r="23" spans="2:9" ht="15" customHeight="1">
      <c r="B23" s="83"/>
      <c r="C23" s="83"/>
      <c r="D23" s="83"/>
      <c r="E23" s="83"/>
      <c r="F23" s="83"/>
      <c r="G23" s="83"/>
      <c r="H23" s="83"/>
      <c r="I23" s="70"/>
    </row>
    <row r="24" spans="2:9" ht="12.75">
      <c r="B24" s="83"/>
      <c r="C24" s="83"/>
      <c r="D24" s="83"/>
      <c r="E24" s="83"/>
      <c r="F24" s="83"/>
      <c r="G24" s="83"/>
      <c r="H24" s="83"/>
      <c r="I24" s="70"/>
    </row>
    <row r="25" spans="2:9" ht="12.75">
      <c r="B25" s="83"/>
      <c r="C25" s="83"/>
      <c r="D25" s="83"/>
      <c r="E25" s="83"/>
      <c r="F25" s="83"/>
      <c r="G25" s="83"/>
      <c r="H25" s="83"/>
      <c r="I25" s="70"/>
    </row>
    <row r="26" spans="2:9" ht="12.75">
      <c r="B26" s="83"/>
      <c r="C26" s="83"/>
      <c r="D26" s="83"/>
      <c r="E26" s="83"/>
      <c r="F26" s="83"/>
      <c r="G26" s="83"/>
      <c r="H26" s="83"/>
      <c r="I26" s="70"/>
    </row>
    <row r="27" spans="2:9" ht="12.75">
      <c r="B27" s="83"/>
      <c r="C27" s="83"/>
      <c r="D27" s="83"/>
      <c r="E27" s="83"/>
      <c r="F27" s="83"/>
      <c r="G27" s="83"/>
      <c r="H27" s="83"/>
      <c r="I27" s="70"/>
    </row>
    <row r="28" spans="2:9" ht="12.75">
      <c r="B28" s="83"/>
      <c r="C28" s="83"/>
      <c r="D28" s="83"/>
      <c r="E28" s="83"/>
      <c r="F28" s="83"/>
      <c r="G28" s="83"/>
      <c r="H28" s="83"/>
      <c r="I28" s="70"/>
    </row>
    <row r="29" spans="2:9" ht="15" customHeight="1">
      <c r="B29" s="77" t="s">
        <v>55</v>
      </c>
      <c r="C29" s="85"/>
      <c r="D29" s="85"/>
      <c r="E29" s="85"/>
      <c r="F29" s="85"/>
      <c r="G29" s="85"/>
      <c r="H29" s="85"/>
      <c r="I29" s="84"/>
    </row>
    <row r="30" spans="2:9" ht="12.75">
      <c r="B30" s="81"/>
      <c r="C30" s="83"/>
      <c r="D30" s="83"/>
      <c r="E30" s="83"/>
      <c r="F30" s="83"/>
      <c r="G30" s="83"/>
      <c r="H30" s="83"/>
      <c r="I30" s="70"/>
    </row>
    <row r="31" spans="2:9" ht="15" customHeight="1">
      <c r="B31" s="81"/>
      <c r="C31" s="83"/>
      <c r="D31" s="83"/>
      <c r="E31" s="83"/>
      <c r="F31" s="83"/>
      <c r="G31" s="83"/>
      <c r="H31" s="83"/>
      <c r="I31" s="70"/>
    </row>
    <row r="32" spans="2:9" ht="12.75">
      <c r="B32" s="81"/>
      <c r="C32" s="83"/>
      <c r="D32" s="83"/>
      <c r="E32" s="83"/>
      <c r="F32" s="83"/>
      <c r="G32" s="83"/>
      <c r="H32" s="83"/>
      <c r="I32" s="70"/>
    </row>
    <row r="33" spans="2:9" ht="15" customHeight="1">
      <c r="B33" s="77" t="s">
        <v>57</v>
      </c>
      <c r="C33" s="85"/>
      <c r="D33" s="85"/>
      <c r="E33" s="85"/>
      <c r="F33" s="85"/>
      <c r="G33" s="85"/>
      <c r="H33" s="85"/>
      <c r="I33" s="84"/>
    </row>
    <row r="34" spans="2:9" ht="15" customHeight="1">
      <c r="B34" s="77"/>
      <c r="C34" s="85"/>
      <c r="D34" s="85"/>
      <c r="E34" s="85"/>
      <c r="F34" s="85"/>
      <c r="G34" s="85"/>
      <c r="H34" s="85"/>
      <c r="I34" s="84"/>
    </row>
    <row r="35" spans="2:9" ht="15" customHeight="1">
      <c r="B35" s="114" t="s">
        <v>56</v>
      </c>
      <c r="C35" s="85"/>
      <c r="D35" s="85"/>
      <c r="E35" s="85"/>
      <c r="F35" s="85"/>
      <c r="G35" s="85"/>
      <c r="H35" s="85"/>
      <c r="I35" s="84"/>
    </row>
    <row r="36" spans="2:9" ht="12.75">
      <c r="B36" s="83"/>
      <c r="C36" s="83"/>
      <c r="D36" s="83"/>
      <c r="E36" s="83"/>
      <c r="F36" s="83"/>
      <c r="G36" s="83"/>
      <c r="H36" s="83"/>
      <c r="I36" s="70"/>
    </row>
    <row r="37" spans="2:9" ht="12.75">
      <c r="B37" s="83"/>
      <c r="C37" s="83"/>
      <c r="D37" s="83"/>
      <c r="E37" s="83"/>
      <c r="F37" s="83"/>
      <c r="G37" s="83"/>
      <c r="H37" s="83"/>
      <c r="I37" s="70"/>
    </row>
    <row r="38" spans="2:9" ht="12.75">
      <c r="B38" s="83"/>
      <c r="C38" s="83"/>
      <c r="D38" s="83"/>
      <c r="E38" s="83"/>
      <c r="F38" s="83"/>
      <c r="G38" s="83"/>
      <c r="H38" s="83"/>
      <c r="I38" s="70"/>
    </row>
    <row r="39" spans="2:9" ht="12.75">
      <c r="B39" s="83"/>
      <c r="C39" s="83"/>
      <c r="D39" s="83"/>
      <c r="E39" s="83"/>
      <c r="F39" s="83"/>
      <c r="G39" s="83"/>
      <c r="H39" s="83"/>
      <c r="I39" s="70"/>
    </row>
    <row r="40" spans="2:9" ht="12.75">
      <c r="B40" s="114" t="s">
        <v>57</v>
      </c>
      <c r="C40" s="83"/>
      <c r="D40" s="83"/>
      <c r="E40" s="83"/>
      <c r="F40" s="83"/>
      <c r="G40" s="83"/>
      <c r="H40" s="83"/>
      <c r="I40" s="70"/>
    </row>
    <row r="41" spans="2:9" ht="12.75">
      <c r="B41" s="83"/>
      <c r="C41" s="83"/>
      <c r="D41" s="83"/>
      <c r="E41" s="83"/>
      <c r="F41" s="83"/>
      <c r="G41" s="83"/>
      <c r="H41" s="83"/>
      <c r="I41" s="70"/>
    </row>
    <row r="42" spans="2:9" ht="12.75">
      <c r="B42" s="83"/>
      <c r="C42" s="83"/>
      <c r="D42" s="86"/>
      <c r="E42" s="83"/>
      <c r="F42" s="83"/>
      <c r="G42" s="83"/>
      <c r="H42" s="83"/>
      <c r="I42" s="70"/>
    </row>
    <row r="43" spans="2:9" ht="12.75">
      <c r="B43" s="83"/>
      <c r="C43" s="83"/>
      <c r="D43" s="83"/>
      <c r="E43" s="83"/>
      <c r="F43" s="83"/>
      <c r="G43" s="83"/>
      <c r="H43" s="83"/>
      <c r="I43" s="70"/>
    </row>
    <row r="44" spans="2:9" ht="12.75">
      <c r="B44" s="83"/>
      <c r="C44" s="83"/>
      <c r="D44" s="83"/>
      <c r="E44" s="83"/>
      <c r="F44" s="83"/>
      <c r="G44" s="83"/>
      <c r="H44" s="83"/>
      <c r="I44" s="70"/>
    </row>
    <row r="45" spans="2:9" ht="12.75">
      <c r="B45" s="83"/>
      <c r="C45" s="83"/>
      <c r="D45" s="83"/>
      <c r="E45" s="83"/>
      <c r="F45" s="83"/>
      <c r="G45" s="83"/>
      <c r="H45" s="83"/>
      <c r="I45" s="70"/>
    </row>
    <row r="46" spans="2:9" ht="12.75">
      <c r="B46" s="83"/>
      <c r="C46" s="83"/>
      <c r="D46" s="83"/>
      <c r="E46" s="83"/>
      <c r="F46" s="83"/>
      <c r="G46" s="83"/>
      <c r="H46" s="83"/>
      <c r="I46" s="70"/>
    </row>
    <row r="47" spans="2:9" ht="12.75">
      <c r="B47" s="83"/>
      <c r="C47" s="83"/>
      <c r="D47" s="83"/>
      <c r="E47" s="83"/>
      <c r="F47" s="83"/>
      <c r="G47" s="83"/>
      <c r="H47" s="83"/>
      <c r="I47" s="70"/>
    </row>
    <row r="48" spans="2:9" ht="12.75">
      <c r="B48" s="83"/>
      <c r="C48" s="83"/>
      <c r="D48" s="83"/>
      <c r="E48" s="83"/>
      <c r="F48" s="83"/>
      <c r="G48" s="83"/>
      <c r="H48" s="83"/>
      <c r="I48" s="70"/>
    </row>
    <row r="49" spans="2:9" ht="12.75">
      <c r="B49" s="83"/>
      <c r="C49" s="83"/>
      <c r="D49" s="83"/>
      <c r="E49" s="83"/>
      <c r="F49" s="83"/>
      <c r="G49" s="83"/>
      <c r="H49" s="83"/>
      <c r="I49" s="70"/>
    </row>
    <row r="50" spans="2:9" ht="12.75">
      <c r="B50" s="83"/>
      <c r="C50" s="83"/>
      <c r="D50" s="83"/>
      <c r="E50" s="83"/>
      <c r="F50" s="83"/>
      <c r="G50" s="83"/>
      <c r="H50" s="83"/>
      <c r="I50" s="70"/>
    </row>
    <row r="51" spans="2:9" ht="12.75">
      <c r="B51" s="83"/>
      <c r="C51" s="83"/>
      <c r="D51" s="83"/>
      <c r="E51" s="83"/>
      <c r="F51" s="83"/>
      <c r="G51" s="83"/>
      <c r="H51" s="83"/>
      <c r="I51" s="70"/>
    </row>
    <row r="52" spans="2:9" ht="12.75">
      <c r="B52" s="82"/>
      <c r="C52" s="82"/>
      <c r="D52" s="82"/>
      <c r="E52" s="82"/>
      <c r="F52" s="82"/>
      <c r="G52" s="82"/>
      <c r="H52" s="82"/>
      <c r="I52" s="47"/>
    </row>
    <row r="53" spans="2:9" ht="12.75">
      <c r="B53" s="82"/>
      <c r="C53" s="82"/>
      <c r="D53" s="82"/>
      <c r="E53" s="82"/>
      <c r="F53" s="82"/>
      <c r="G53" s="82"/>
      <c r="H53" s="82"/>
      <c r="I53" s="47"/>
    </row>
    <row r="54" spans="2:9" ht="12.75">
      <c r="B54" s="82"/>
      <c r="C54" s="82"/>
      <c r="D54" s="82"/>
      <c r="E54" s="82"/>
      <c r="F54" s="82"/>
      <c r="G54" s="82"/>
      <c r="H54" s="82"/>
      <c r="I54" s="47"/>
    </row>
    <row r="55" spans="2:9" ht="12.75">
      <c r="B55" s="82"/>
      <c r="C55" s="82"/>
      <c r="D55" s="82"/>
      <c r="E55" s="82"/>
      <c r="F55" s="82"/>
      <c r="G55" s="82"/>
      <c r="H55" s="82"/>
      <c r="I55" s="47"/>
    </row>
    <row r="56" spans="2:9" ht="12.75">
      <c r="B56" s="82"/>
      <c r="C56" s="82"/>
      <c r="D56" s="82"/>
      <c r="E56" s="82"/>
      <c r="F56" s="82"/>
      <c r="G56" s="82"/>
      <c r="H56" s="82"/>
      <c r="I56" s="47"/>
    </row>
    <row r="57" spans="2:9" ht="12.75">
      <c r="B57" s="82"/>
      <c r="C57" s="82"/>
      <c r="D57" s="82"/>
      <c r="E57" s="82"/>
      <c r="F57" s="82"/>
      <c r="G57" s="82"/>
      <c r="H57" s="82"/>
      <c r="I57" s="47"/>
    </row>
    <row r="58" spans="2:9" ht="12.75">
      <c r="B58" s="82"/>
      <c r="C58" s="82"/>
      <c r="D58" s="82"/>
      <c r="E58" s="82"/>
      <c r="F58" s="82"/>
      <c r="G58" s="82"/>
      <c r="H58" s="82"/>
      <c r="I58" s="47"/>
    </row>
    <row r="59" spans="2:9" ht="12.75">
      <c r="B59" s="82"/>
      <c r="C59" s="82"/>
      <c r="D59" s="82"/>
      <c r="E59" s="82"/>
      <c r="F59" s="82"/>
      <c r="G59" s="82"/>
      <c r="H59" s="82"/>
      <c r="I59" s="47"/>
    </row>
    <row r="60" spans="2:9" ht="8.25" customHeight="1">
      <c r="B60" s="82"/>
      <c r="C60" s="82"/>
      <c r="D60" s="82"/>
      <c r="E60" s="82"/>
      <c r="F60" s="82"/>
      <c r="G60" s="82"/>
      <c r="H60" s="82"/>
      <c r="I60" s="47"/>
    </row>
    <row r="61" spans="2:9" ht="15" customHeight="1">
      <c r="B61" s="87" t="s">
        <v>58</v>
      </c>
      <c r="C61" s="82"/>
      <c r="D61" s="82"/>
      <c r="E61" s="82"/>
      <c r="F61" s="82"/>
      <c r="G61" s="82"/>
      <c r="H61" s="82"/>
      <c r="I61" s="47"/>
    </row>
    <row r="62" spans="2:9" ht="12.75">
      <c r="B62" s="82"/>
      <c r="C62" s="82"/>
      <c r="D62" s="82"/>
      <c r="E62" s="82"/>
      <c r="F62" s="82"/>
      <c r="G62" s="82"/>
      <c r="H62" s="82"/>
      <c r="I62" s="47"/>
    </row>
    <row r="63" spans="2:9" ht="12.75">
      <c r="B63" s="82"/>
      <c r="C63" s="82"/>
      <c r="D63" s="82"/>
      <c r="E63" s="82"/>
      <c r="F63" s="82"/>
      <c r="G63" s="82"/>
      <c r="H63" s="82"/>
      <c r="I63" s="47"/>
    </row>
    <row r="64" spans="2:9" ht="12.75">
      <c r="B64" s="82"/>
      <c r="C64" s="82"/>
      <c r="D64" s="82"/>
      <c r="E64" s="82"/>
      <c r="F64" s="82"/>
      <c r="G64" s="82"/>
      <c r="H64" s="82"/>
      <c r="I64" s="47"/>
    </row>
    <row r="65" spans="2:9" ht="12.75">
      <c r="B65" s="82"/>
      <c r="C65" s="82"/>
      <c r="D65" s="82"/>
      <c r="E65" s="82"/>
      <c r="F65" s="82"/>
      <c r="G65" s="82"/>
      <c r="H65" s="82"/>
      <c r="I65" s="47"/>
    </row>
    <row r="66" ht="12.75"/>
    <row r="67" ht="12.75">
      <c r="B67" s="113" t="s">
        <v>73</v>
      </c>
    </row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1" ht="12.75">
      <c r="B81" s="114" t="s">
        <v>58</v>
      </c>
    </row>
    <row r="83" ht="12.75"/>
    <row r="84" ht="12.75"/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0"/>
  <legacyDrawing r:id="rId9"/>
  <oleObjects>
    <oleObject progId="Word.Document.8" shapeId="2378664" r:id="rId1"/>
    <oleObject progId="Word.Document.8" shapeId="2378665" r:id="rId2"/>
    <oleObject progId="Word.Document.8" shapeId="2378666" r:id="rId3"/>
    <oleObject progId="Word.Document.8" shapeId="2378667" r:id="rId4"/>
    <oleObject progId="Word.Document.8" shapeId="2378668" r:id="rId5"/>
    <oleObject progId="Word.Document.8" shapeId="1907937" r:id="rId6"/>
    <oleObject progId="Word.Document.8" shapeId="1910782" r:id="rId7"/>
    <oleObject progId="Word.Document.8" shapeId="1914849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O265"/>
  <sheetViews>
    <sheetView workbookViewId="0" topLeftCell="A1">
      <pane xSplit="2" ySplit="3" topLeftCell="AB3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50" sqref="AB50:AF50"/>
    </sheetView>
  </sheetViews>
  <sheetFormatPr defaultColWidth="11.421875" defaultRowHeight="12.75"/>
  <cols>
    <col min="1" max="1" width="3.7109375" style="3" customWidth="1"/>
    <col min="2" max="2" width="44.57421875" style="9" customWidth="1"/>
    <col min="3" max="23" width="6.28125" style="42" customWidth="1"/>
    <col min="24" max="25" width="6.28125" style="9" customWidth="1"/>
    <col min="26" max="34" width="6.28125" style="3" customWidth="1"/>
    <col min="35" max="42" width="6.7109375" style="3" customWidth="1"/>
    <col min="43" max="16384" width="11.421875" style="3" customWidth="1"/>
  </cols>
  <sheetData>
    <row r="1" spans="2:24" ht="15.75" customHeight="1">
      <c r="B1" s="2" t="s">
        <v>45</v>
      </c>
      <c r="C1" s="1"/>
      <c r="D1" s="1"/>
      <c r="E1" s="1"/>
      <c r="F1" s="1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6"/>
    </row>
    <row r="2" spans="2:23" ht="8.25" customHeight="1"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2:33" s="11" customFormat="1" ht="15.75" customHeight="1">
      <c r="B3" s="12"/>
      <c r="C3" s="12">
        <v>1980</v>
      </c>
      <c r="D3" s="12">
        <v>1981</v>
      </c>
      <c r="E3" s="12">
        <v>1982</v>
      </c>
      <c r="F3" s="12">
        <v>1983</v>
      </c>
      <c r="G3" s="12">
        <v>1984</v>
      </c>
      <c r="H3" s="12">
        <v>1985</v>
      </c>
      <c r="I3" s="12">
        <v>1986</v>
      </c>
      <c r="J3" s="12">
        <v>1987</v>
      </c>
      <c r="K3" s="12">
        <v>1988</v>
      </c>
      <c r="L3" s="12">
        <v>1989</v>
      </c>
      <c r="M3" s="12">
        <v>1990</v>
      </c>
      <c r="N3" s="12">
        <v>1991</v>
      </c>
      <c r="O3" s="12">
        <v>1992</v>
      </c>
      <c r="P3" s="12">
        <v>1993</v>
      </c>
      <c r="Q3" s="12">
        <v>1994</v>
      </c>
      <c r="R3" s="12">
        <v>1995</v>
      </c>
      <c r="S3" s="12">
        <v>1996</v>
      </c>
      <c r="T3" s="12">
        <v>1997</v>
      </c>
      <c r="U3" s="12">
        <v>1998</v>
      </c>
      <c r="V3" s="12">
        <v>1999</v>
      </c>
      <c r="W3" s="13">
        <v>2000</v>
      </c>
      <c r="X3" s="13">
        <v>2001</v>
      </c>
      <c r="Y3" s="13">
        <v>2002</v>
      </c>
      <c r="Z3" s="13">
        <v>2003</v>
      </c>
      <c r="AA3" s="13">
        <v>2004</v>
      </c>
      <c r="AB3" s="13">
        <v>2005</v>
      </c>
      <c r="AC3" s="13">
        <v>2006</v>
      </c>
      <c r="AD3" s="13">
        <v>2007</v>
      </c>
      <c r="AE3" s="13">
        <v>2008</v>
      </c>
      <c r="AF3" s="13">
        <v>2009</v>
      </c>
      <c r="AG3" s="13">
        <v>2010</v>
      </c>
    </row>
    <row r="4" spans="2:33" s="11" customFormat="1" ht="15.75" customHeight="1">
      <c r="B4" s="105" t="s">
        <v>71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</row>
    <row r="5" spans="2:33" s="11" customFormat="1" ht="11.25" customHeight="1">
      <c r="B5" s="101" t="s">
        <v>68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</row>
    <row r="6" spans="2:33" s="11" customFormat="1" ht="11.25" customHeight="1">
      <c r="B6" s="18" t="s">
        <v>0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9">
        <v>460.09</v>
      </c>
    </row>
    <row r="7" spans="2:33" s="11" customFormat="1" ht="11.25" customHeight="1">
      <c r="B7" s="18" t="s">
        <v>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20">
        <v>690.14</v>
      </c>
    </row>
    <row r="8" spans="2:33" s="11" customFormat="1" ht="11.25" customHeight="1">
      <c r="B8" s="18" t="s">
        <v>2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20">
        <v>828.17</v>
      </c>
    </row>
    <row r="9" spans="2:33" s="11" customFormat="1" ht="12.75" customHeight="1">
      <c r="B9" s="21" t="s">
        <v>3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20">
        <v>690.14</v>
      </c>
    </row>
    <row r="10" spans="2:33" s="11" customFormat="1" ht="12" customHeight="1">
      <c r="B10" s="21" t="s">
        <v>4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20">
        <v>828.17</v>
      </c>
    </row>
    <row r="11" spans="2:33" s="11" customFormat="1" ht="11.25" customHeight="1">
      <c r="B11" s="21" t="s">
        <v>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20">
        <v>966.2</v>
      </c>
    </row>
    <row r="12" spans="2:33" s="11" customFormat="1" ht="12" customHeight="1">
      <c r="B12" s="102" t="s">
        <v>26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4">
        <v>184.04</v>
      </c>
    </row>
    <row r="13" spans="2:33" s="11" customFormat="1" ht="15.75" customHeight="1">
      <c r="B13" s="101" t="s">
        <v>69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</row>
    <row r="14" spans="2:33" s="11" customFormat="1" ht="10.5" customHeight="1">
      <c r="B14" s="21" t="s">
        <v>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9">
        <v>590.81</v>
      </c>
    </row>
    <row r="15" spans="2:33" s="11" customFormat="1" ht="12" customHeight="1">
      <c r="B15" s="21" t="s">
        <v>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20">
        <v>787.75</v>
      </c>
    </row>
    <row r="16" spans="2:33" s="11" customFormat="1" ht="10.5" customHeight="1">
      <c r="B16" s="21" t="s">
        <v>8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22">
        <v>196.94</v>
      </c>
    </row>
    <row r="17" spans="2:33" ht="11.25">
      <c r="B17" s="27" t="s">
        <v>21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2:35" ht="11.25">
      <c r="B18" s="18" t="s">
        <v>0</v>
      </c>
      <c r="C18" s="15"/>
      <c r="D18" s="15"/>
      <c r="E18" s="15"/>
      <c r="F18" s="15"/>
      <c r="G18" s="15"/>
      <c r="H18" s="15"/>
      <c r="I18" s="15"/>
      <c r="J18" s="15"/>
      <c r="K18" s="15"/>
      <c r="L18" s="19">
        <v>304.89803447482075</v>
      </c>
      <c r="M18" s="19">
        <v>317.0939558538136</v>
      </c>
      <c r="N18" s="19">
        <v>327.15559099148265</v>
      </c>
      <c r="O18" s="19">
        <v>333.06908837012185</v>
      </c>
      <c r="P18" s="19">
        <v>343.47068481623035</v>
      </c>
      <c r="Q18" s="19">
        <v>350.34003753294803</v>
      </c>
      <c r="R18" s="19">
        <v>354.5445814283558</v>
      </c>
      <c r="S18" s="19">
        <v>361.99019143023094</v>
      </c>
      <c r="T18" s="19">
        <v>366.33346393132473</v>
      </c>
      <c r="U18" s="19">
        <v>370.36269145690954</v>
      </c>
      <c r="V18" s="19">
        <v>381.47317583317204</v>
      </c>
      <c r="W18" s="19">
        <v>389.103249145904</v>
      </c>
      <c r="X18" s="19">
        <v>397.663261463785</v>
      </c>
      <c r="Y18" s="19">
        <v>405.62</v>
      </c>
      <c r="Z18" s="19">
        <v>411.7</v>
      </c>
      <c r="AA18" s="19">
        <v>417.88</v>
      </c>
      <c r="AB18" s="19">
        <v>425.4</v>
      </c>
      <c r="AC18" s="19">
        <v>433.06</v>
      </c>
      <c r="AD18" s="19">
        <v>440.86</v>
      </c>
      <c r="AE18" s="19">
        <v>447.91</v>
      </c>
      <c r="AF18" s="19">
        <v>454.63</v>
      </c>
      <c r="AG18" s="19">
        <v>460.09</v>
      </c>
      <c r="AI18" s="6"/>
    </row>
    <row r="19" spans="2:33" ht="11.25">
      <c r="B19" s="18" t="s">
        <v>1</v>
      </c>
      <c r="C19" s="15"/>
      <c r="D19" s="15"/>
      <c r="E19" s="15"/>
      <c r="F19" s="15"/>
      <c r="G19" s="15"/>
      <c r="H19" s="15"/>
      <c r="I19" s="15"/>
      <c r="J19" s="15"/>
      <c r="K19" s="15"/>
      <c r="L19" s="19">
        <v>457.3470517122311</v>
      </c>
      <c r="M19" s="19">
        <v>475.6409337807204</v>
      </c>
      <c r="N19" s="19">
        <v>490.73338648722404</v>
      </c>
      <c r="O19" s="19">
        <v>499.60363255518274</v>
      </c>
      <c r="P19" s="19">
        <v>515.2060272243456</v>
      </c>
      <c r="Q19" s="19">
        <v>525.5100562994221</v>
      </c>
      <c r="R19" s="19">
        <v>531.8168721425337</v>
      </c>
      <c r="S19" s="19">
        <v>542.9852871453464</v>
      </c>
      <c r="T19" s="19">
        <v>549.5001958969871</v>
      </c>
      <c r="U19" s="19">
        <v>555.5440371853643</v>
      </c>
      <c r="V19" s="19">
        <v>572.2097637497579</v>
      </c>
      <c r="W19" s="19">
        <v>583.6541114737704</v>
      </c>
      <c r="X19" s="19">
        <v>596.4948921956775</v>
      </c>
      <c r="Y19" s="20">
        <v>608.43</v>
      </c>
      <c r="Z19" s="20">
        <v>617.55</v>
      </c>
      <c r="AA19" s="20">
        <v>626.82</v>
      </c>
      <c r="AB19" s="20">
        <v>638.1</v>
      </c>
      <c r="AC19" s="20">
        <v>649.59</v>
      </c>
      <c r="AD19" s="20">
        <v>661.29</v>
      </c>
      <c r="AE19" s="20">
        <v>671.87</v>
      </c>
      <c r="AF19" s="20">
        <v>681.95</v>
      </c>
      <c r="AG19" s="20">
        <v>690.14</v>
      </c>
    </row>
    <row r="20" spans="2:36" ht="11.25">
      <c r="B20" s="18" t="s">
        <v>2</v>
      </c>
      <c r="C20" s="15"/>
      <c r="D20" s="15"/>
      <c r="E20" s="15"/>
      <c r="F20" s="15"/>
      <c r="G20" s="15"/>
      <c r="H20" s="15"/>
      <c r="I20" s="15"/>
      <c r="J20" s="15"/>
      <c r="K20" s="15"/>
      <c r="L20" s="19">
        <v>548.8164620546773</v>
      </c>
      <c r="M20" s="19">
        <v>570.7691205368644</v>
      </c>
      <c r="N20" s="19">
        <v>588.8800637846689</v>
      </c>
      <c r="O20" s="19">
        <v>599.5243590662193</v>
      </c>
      <c r="P20" s="19">
        <v>618.2472326692147</v>
      </c>
      <c r="Q20" s="19">
        <v>630.6120675593065</v>
      </c>
      <c r="R20" s="19">
        <v>638.1802465710405</v>
      </c>
      <c r="S20" s="19">
        <v>651.5823445744157</v>
      </c>
      <c r="T20" s="19">
        <v>659.4002350763845</v>
      </c>
      <c r="U20" s="19">
        <v>666.6528446224372</v>
      </c>
      <c r="V20" s="19">
        <v>686.6517164997097</v>
      </c>
      <c r="W20" s="19">
        <v>700.3858484626278</v>
      </c>
      <c r="X20" s="19">
        <v>715.793870634813</v>
      </c>
      <c r="Y20" s="20">
        <v>730.116</v>
      </c>
      <c r="Z20" s="20">
        <v>741.06</v>
      </c>
      <c r="AA20" s="20">
        <v>752.18</v>
      </c>
      <c r="AB20" s="20">
        <v>765.72</v>
      </c>
      <c r="AC20" s="20">
        <v>779.51</v>
      </c>
      <c r="AD20" s="20">
        <v>793.55</v>
      </c>
      <c r="AE20" s="20">
        <v>806.24</v>
      </c>
      <c r="AF20" s="20">
        <v>818.34</v>
      </c>
      <c r="AG20" s="20">
        <v>828.17</v>
      </c>
      <c r="AJ20" s="6"/>
    </row>
    <row r="21" spans="2:36" ht="11.25">
      <c r="B21" s="21" t="s">
        <v>3</v>
      </c>
      <c r="C21" s="15"/>
      <c r="D21" s="15"/>
      <c r="E21" s="15"/>
      <c r="F21" s="15"/>
      <c r="G21" s="15"/>
      <c r="H21" s="15"/>
      <c r="I21" s="15"/>
      <c r="J21" s="15"/>
      <c r="K21" s="15"/>
      <c r="L21" s="19">
        <v>457.3470517122311</v>
      </c>
      <c r="M21" s="19">
        <v>475.6409337807204</v>
      </c>
      <c r="N21" s="19">
        <v>490.73338648722404</v>
      </c>
      <c r="O21" s="19">
        <v>499.60363255518274</v>
      </c>
      <c r="P21" s="19">
        <v>515.2060272243456</v>
      </c>
      <c r="Q21" s="19">
        <v>525.5100562994221</v>
      </c>
      <c r="R21" s="19">
        <v>531.8168721425337</v>
      </c>
      <c r="S21" s="19">
        <v>542.9852871453464</v>
      </c>
      <c r="T21" s="19">
        <v>549.5001958969871</v>
      </c>
      <c r="U21" s="19">
        <v>555.5440371853643</v>
      </c>
      <c r="V21" s="19">
        <v>572.2097637497579</v>
      </c>
      <c r="W21" s="19">
        <v>583.6541114737704</v>
      </c>
      <c r="X21" s="19">
        <v>596.4948921956775</v>
      </c>
      <c r="Y21" s="20">
        <v>608.43</v>
      </c>
      <c r="Z21" s="20">
        <v>617.55</v>
      </c>
      <c r="AA21" s="20">
        <v>626.82</v>
      </c>
      <c r="AB21" s="20">
        <v>638.1</v>
      </c>
      <c r="AC21" s="20">
        <v>649.59</v>
      </c>
      <c r="AD21" s="20">
        <v>661.29</v>
      </c>
      <c r="AE21" s="20">
        <v>671.87</v>
      </c>
      <c r="AF21" s="20">
        <v>681.95</v>
      </c>
      <c r="AG21" s="20">
        <v>690.14</v>
      </c>
      <c r="AJ21" s="6"/>
    </row>
    <row r="22" spans="2:35" ht="11.25">
      <c r="B22" s="21" t="s">
        <v>4</v>
      </c>
      <c r="C22" s="15"/>
      <c r="D22" s="15"/>
      <c r="E22" s="15"/>
      <c r="F22" s="15"/>
      <c r="G22" s="15"/>
      <c r="H22" s="15"/>
      <c r="I22" s="15"/>
      <c r="J22" s="15"/>
      <c r="K22" s="15"/>
      <c r="L22" s="19">
        <v>548.8164620546773</v>
      </c>
      <c r="M22" s="19">
        <v>570.7691205368644</v>
      </c>
      <c r="N22" s="19">
        <v>588.8800637846689</v>
      </c>
      <c r="O22" s="19">
        <v>599.5243590662193</v>
      </c>
      <c r="P22" s="19">
        <v>618.2472326692147</v>
      </c>
      <c r="Q22" s="19">
        <v>630.6120675593065</v>
      </c>
      <c r="R22" s="19">
        <v>638.1802465710405</v>
      </c>
      <c r="S22" s="19">
        <v>651.5823445744157</v>
      </c>
      <c r="T22" s="19">
        <v>659.4002350763845</v>
      </c>
      <c r="U22" s="19">
        <v>666.6528446224372</v>
      </c>
      <c r="V22" s="19">
        <v>686.6517164997097</v>
      </c>
      <c r="W22" s="19">
        <v>700.3858484626278</v>
      </c>
      <c r="X22" s="19">
        <v>715.793870634813</v>
      </c>
      <c r="Y22" s="20">
        <v>730.116</v>
      </c>
      <c r="Z22" s="20">
        <v>741.06</v>
      </c>
      <c r="AA22" s="20">
        <f>+AA21+125.36</f>
        <v>752.1800000000001</v>
      </c>
      <c r="AB22" s="20">
        <f>+AB21+127.62</f>
        <v>765.72</v>
      </c>
      <c r="AC22" s="20">
        <f>+AC21+129.92</f>
        <v>779.51</v>
      </c>
      <c r="AD22" s="20">
        <v>793.55</v>
      </c>
      <c r="AE22" s="20">
        <v>806.24</v>
      </c>
      <c r="AF22" s="20">
        <v>818.34</v>
      </c>
      <c r="AG22" s="20">
        <v>828.17</v>
      </c>
      <c r="AI22" s="6"/>
    </row>
    <row r="23" spans="2:33" ht="11.25">
      <c r="B23" s="21" t="s">
        <v>5</v>
      </c>
      <c r="C23" s="15"/>
      <c r="D23" s="15"/>
      <c r="E23" s="15"/>
      <c r="F23" s="15"/>
      <c r="G23" s="15"/>
      <c r="H23" s="15"/>
      <c r="I23" s="15"/>
      <c r="J23" s="15"/>
      <c r="K23" s="15"/>
      <c r="L23" s="19">
        <v>640.2858723971236</v>
      </c>
      <c r="M23" s="19">
        <v>665.8973072930086</v>
      </c>
      <c r="N23" s="19">
        <v>687.0267410821136</v>
      </c>
      <c r="O23" s="19">
        <v>699.4450855772559</v>
      </c>
      <c r="P23" s="19">
        <v>721.2884381140838</v>
      </c>
      <c r="Q23" s="19">
        <v>735.7140788191908</v>
      </c>
      <c r="R23" s="19">
        <v>744.5436209995472</v>
      </c>
      <c r="S23" s="19">
        <v>760.1794020034849</v>
      </c>
      <c r="T23" s="19">
        <v>769.3002742557819</v>
      </c>
      <c r="U23" s="19">
        <v>777.7616520595101</v>
      </c>
      <c r="V23" s="19">
        <v>801.0936692496612</v>
      </c>
      <c r="W23" s="19">
        <v>817.1168232063993</v>
      </c>
      <c r="X23" s="19">
        <v>835.0928490739485</v>
      </c>
      <c r="Y23" s="20">
        <v>851.802</v>
      </c>
      <c r="Z23" s="20">
        <v>864.57</v>
      </c>
      <c r="AA23" s="20">
        <f>+AA22+125.36</f>
        <v>877.5400000000001</v>
      </c>
      <c r="AB23" s="20">
        <f>+AB22+127.62</f>
        <v>893.34</v>
      </c>
      <c r="AC23" s="20">
        <f>+AC22+129.92</f>
        <v>909.43</v>
      </c>
      <c r="AD23" s="20">
        <v>925.81</v>
      </c>
      <c r="AE23" s="20">
        <v>940.62</v>
      </c>
      <c r="AF23" s="20">
        <v>954.72</v>
      </c>
      <c r="AG23" s="20">
        <v>966.2</v>
      </c>
    </row>
    <row r="24" spans="2:33" ht="11.25">
      <c r="B24" s="21" t="s">
        <v>26</v>
      </c>
      <c r="C24" s="15"/>
      <c r="D24" s="15"/>
      <c r="E24" s="15"/>
      <c r="F24" s="15"/>
      <c r="G24" s="15"/>
      <c r="H24" s="15"/>
      <c r="I24" s="15"/>
      <c r="J24" s="15"/>
      <c r="K24" s="15"/>
      <c r="L24" s="19">
        <v>91.46941034244622</v>
      </c>
      <c r="M24" s="19">
        <v>95.12818675614407</v>
      </c>
      <c r="N24" s="19">
        <v>130.86223639659306</v>
      </c>
      <c r="O24" s="19">
        <v>133.22763534804875</v>
      </c>
      <c r="P24" s="19">
        <v>137.38827392649216</v>
      </c>
      <c r="Q24" s="19">
        <v>140.13601501317922</v>
      </c>
      <c r="R24" s="19">
        <v>141.81783257134234</v>
      </c>
      <c r="S24" s="19">
        <v>144.79607657209237</v>
      </c>
      <c r="T24" s="19">
        <v>146.5333855725299</v>
      </c>
      <c r="U24" s="19">
        <v>148.1450765827638</v>
      </c>
      <c r="V24" s="19">
        <v>152.5892703332688</v>
      </c>
      <c r="W24" s="19">
        <v>156.2510957273114</v>
      </c>
      <c r="X24" s="19">
        <v>159.065304585514</v>
      </c>
      <c r="Y24" s="19">
        <v>162.25</v>
      </c>
      <c r="Z24" s="19">
        <v>164.68</v>
      </c>
      <c r="AA24" s="19">
        <v>167.15</v>
      </c>
      <c r="AB24" s="19">
        <v>170.16</v>
      </c>
      <c r="AC24" s="19">
        <v>173.22</v>
      </c>
      <c r="AD24" s="19">
        <v>176.34</v>
      </c>
      <c r="AE24" s="19">
        <v>179.16</v>
      </c>
      <c r="AF24" s="19">
        <v>181.85</v>
      </c>
      <c r="AG24" s="19">
        <v>184.04</v>
      </c>
    </row>
    <row r="25" spans="2:33" ht="11.25">
      <c r="B25" s="23" t="s">
        <v>22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16"/>
      <c r="X25" s="16"/>
      <c r="Y25" s="25"/>
      <c r="Z25" s="25"/>
      <c r="AA25" s="25"/>
      <c r="AB25" s="25"/>
      <c r="AC25" s="25"/>
      <c r="AD25" s="25"/>
      <c r="AE25" s="25"/>
      <c r="AF25" s="25"/>
      <c r="AG25" s="25"/>
    </row>
    <row r="26" spans="2:36" ht="11.25">
      <c r="B26" s="21" t="s">
        <v>6</v>
      </c>
      <c r="C26" s="19">
        <v>217.01117603745368</v>
      </c>
      <c r="D26" s="19">
        <v>249.99656989711215</v>
      </c>
      <c r="E26" s="19">
        <v>284.92721321672</v>
      </c>
      <c r="F26" s="19">
        <v>325.17375376739636</v>
      </c>
      <c r="G26" s="19">
        <v>346.1568364999535</v>
      </c>
      <c r="H26" s="19">
        <v>366.33498842149714</v>
      </c>
      <c r="I26" s="19">
        <v>380.1849816375159</v>
      </c>
      <c r="J26" s="19">
        <v>384.93681750480596</v>
      </c>
      <c r="K26" s="19">
        <v>399.1267720292641</v>
      </c>
      <c r="L26" s="19">
        <v>409.2859745379651</v>
      </c>
      <c r="M26" s="19">
        <v>422.741124799339</v>
      </c>
      <c r="N26" s="19">
        <v>435.6992912645189</v>
      </c>
      <c r="O26" s="19">
        <v>443.4741911436268</v>
      </c>
      <c r="P26" s="19">
        <v>460.54848107421674</v>
      </c>
      <c r="Q26" s="19">
        <v>469.6954221084614</v>
      </c>
      <c r="R26" s="19">
        <v>475.33603574624556</v>
      </c>
      <c r="S26" s="19">
        <v>475.33603574624556</v>
      </c>
      <c r="T26" s="19">
        <v>482.19624152192904</v>
      </c>
      <c r="U26" s="19">
        <v>487.5319571252384</v>
      </c>
      <c r="V26" s="19">
        <v>490.88583550446145</v>
      </c>
      <c r="W26" s="19">
        <v>493.32501978026</v>
      </c>
      <c r="X26" s="19">
        <v>502.3195117972672</v>
      </c>
      <c r="Y26" s="19">
        <v>512.81</v>
      </c>
      <c r="Z26" s="19">
        <v>521.52</v>
      </c>
      <c r="AA26" s="19">
        <v>530.39</v>
      </c>
      <c r="AB26" s="19">
        <v>542.06</v>
      </c>
      <c r="AC26" s="19">
        <v>551.81</v>
      </c>
      <c r="AD26" s="19">
        <v>561.18</v>
      </c>
      <c r="AE26" s="19">
        <v>566.79</v>
      </c>
      <c r="AF26" s="19">
        <v>583.8</v>
      </c>
      <c r="AG26" s="19">
        <v>590.81</v>
      </c>
      <c r="AJ26" s="5"/>
    </row>
    <row r="27" spans="2:33" ht="11.25">
      <c r="B27" s="21" t="s">
        <v>7</v>
      </c>
      <c r="C27" s="19">
        <v>289.3482347166049</v>
      </c>
      <c r="D27" s="19">
        <v>333.3297761895978</v>
      </c>
      <c r="E27" s="19">
        <v>379.9029509556267</v>
      </c>
      <c r="F27" s="19">
        <v>433.5650050231951</v>
      </c>
      <c r="G27" s="19">
        <v>461.5424486666047</v>
      </c>
      <c r="H27" s="19">
        <v>488.44665122866286</v>
      </c>
      <c r="I27" s="19">
        <v>506.91330885002117</v>
      </c>
      <c r="J27" s="19">
        <v>513.2490900064079</v>
      </c>
      <c r="K27" s="19">
        <v>532.1690293723522</v>
      </c>
      <c r="L27" s="19">
        <v>545.7146327172868</v>
      </c>
      <c r="M27" s="19">
        <v>563.6040167267062</v>
      </c>
      <c r="N27" s="19">
        <v>580.983204691771</v>
      </c>
      <c r="O27" s="19">
        <v>591.3497378639149</v>
      </c>
      <c r="P27" s="19">
        <v>614.064641432289</v>
      </c>
      <c r="Q27" s="19">
        <v>626.2605628112818</v>
      </c>
      <c r="R27" s="19">
        <v>633.7305646559149</v>
      </c>
      <c r="S27" s="19">
        <v>633.7305646559149</v>
      </c>
      <c r="T27" s="19">
        <v>642.8775056901595</v>
      </c>
      <c r="U27" s="19">
        <v>650.0426095003179</v>
      </c>
      <c r="V27" s="19">
        <v>654.4636310002028</v>
      </c>
      <c r="W27" s="19">
        <v>657.8175093794258</v>
      </c>
      <c r="X27" s="19">
        <v>669.7085327239438</v>
      </c>
      <c r="Y27" s="20">
        <v>683.75</v>
      </c>
      <c r="Z27" s="20">
        <v>695.36</v>
      </c>
      <c r="AA27" s="20">
        <v>707.19</v>
      </c>
      <c r="AB27" s="20">
        <v>722.75</v>
      </c>
      <c r="AC27" s="20">
        <v>735.75</v>
      </c>
      <c r="AD27" s="20">
        <v>748.24</v>
      </c>
      <c r="AE27" s="20">
        <f>AE26+AE28</f>
        <v>755.72</v>
      </c>
      <c r="AF27" s="20">
        <f>AF26+AF28</f>
        <v>778.4</v>
      </c>
      <c r="AG27" s="20">
        <v>787.75</v>
      </c>
    </row>
    <row r="28" spans="2:36" ht="11.25">
      <c r="B28" s="21" t="s">
        <v>8</v>
      </c>
      <c r="C28" s="19">
        <v>72.33705867915123</v>
      </c>
      <c r="D28" s="19">
        <v>83.33218996570406</v>
      </c>
      <c r="E28" s="19">
        <v>94.97573773890667</v>
      </c>
      <c r="F28" s="19">
        <v>108.39125125579878</v>
      </c>
      <c r="G28" s="19">
        <v>115.38561216665117</v>
      </c>
      <c r="H28" s="19">
        <v>122.11166280716571</v>
      </c>
      <c r="I28" s="19">
        <v>126.72832721250529</v>
      </c>
      <c r="J28" s="19">
        <v>128.31227250160197</v>
      </c>
      <c r="K28" s="19">
        <v>133.04225734308804</v>
      </c>
      <c r="L28" s="19">
        <v>136.4286581793217</v>
      </c>
      <c r="M28" s="19">
        <v>140.8628919273672</v>
      </c>
      <c r="N28" s="19">
        <v>145.2839134272521</v>
      </c>
      <c r="O28" s="19">
        <v>147.87554672028807</v>
      </c>
      <c r="P28" s="19">
        <v>153.51616035807226</v>
      </c>
      <c r="Q28" s="19">
        <v>156.56514070282046</v>
      </c>
      <c r="R28" s="19">
        <v>158.3945289096694</v>
      </c>
      <c r="S28" s="19">
        <v>158.3945289096694</v>
      </c>
      <c r="T28" s="19">
        <v>160.68126416823054</v>
      </c>
      <c r="U28" s="19">
        <v>162.51065237507947</v>
      </c>
      <c r="V28" s="19">
        <v>163.57779549574133</v>
      </c>
      <c r="W28" s="19">
        <v>164.4924895991658</v>
      </c>
      <c r="X28" s="19">
        <v>167.3890209266766</v>
      </c>
      <c r="Y28" s="22">
        <v>170.94</v>
      </c>
      <c r="Z28" s="22">
        <v>173.84</v>
      </c>
      <c r="AA28" s="22">
        <f>176.8</f>
        <v>176.8</v>
      </c>
      <c r="AB28" s="22">
        <f>180.69</f>
        <v>180.69</v>
      </c>
      <c r="AC28" s="22">
        <v>183.94</v>
      </c>
      <c r="AD28" s="22">
        <v>187.06</v>
      </c>
      <c r="AE28" s="22">
        <v>188.93</v>
      </c>
      <c r="AF28" s="22">
        <v>194.6</v>
      </c>
      <c r="AG28" s="22">
        <v>196.94</v>
      </c>
      <c r="AJ28" s="5"/>
    </row>
    <row r="29" spans="2:33" ht="11.25">
      <c r="B29" s="27" t="s">
        <v>70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16"/>
      <c r="X29" s="16"/>
      <c r="Y29" s="25"/>
      <c r="Z29" s="25"/>
      <c r="AA29" s="25"/>
      <c r="AB29" s="25"/>
      <c r="AC29" s="25"/>
      <c r="AD29" s="25"/>
      <c r="AE29" s="25"/>
      <c r="AF29" s="25"/>
      <c r="AG29" s="25"/>
    </row>
    <row r="30" spans="2:33" ht="11.25">
      <c r="B30" s="18" t="s">
        <v>11</v>
      </c>
      <c r="C30" s="15"/>
      <c r="D30" s="15"/>
      <c r="E30" s="15"/>
      <c r="F30" s="15"/>
      <c r="G30" s="15"/>
      <c r="H30" s="15"/>
      <c r="I30" s="15"/>
      <c r="J30" s="15"/>
      <c r="K30" s="15"/>
      <c r="L30" s="19">
        <v>36.58776413697849</v>
      </c>
      <c r="M30" s="19">
        <v>38.11225430935259</v>
      </c>
      <c r="N30" s="19">
        <v>39.33184644725188</v>
      </c>
      <c r="O30" s="19">
        <v>39.94164251620152</v>
      </c>
      <c r="P30" s="19">
        <v>41.1612346541008</v>
      </c>
      <c r="Q30" s="19">
        <v>42.07592875752527</v>
      </c>
      <c r="R30" s="19">
        <v>42.533275809237495</v>
      </c>
      <c r="S30" s="19">
        <v>43.44796991266196</v>
      </c>
      <c r="T30" s="19">
        <v>43.90531696437419</v>
      </c>
      <c r="U30" s="19">
        <v>44.51511303332383</v>
      </c>
      <c r="V30" s="19">
        <v>45.73470517122311</v>
      </c>
      <c r="W30" s="19">
        <v>46.64939927464758</v>
      </c>
      <c r="X30" s="19">
        <v>47.716542395309446</v>
      </c>
      <c r="Y30" s="20">
        <v>48.674400000000006</v>
      </c>
      <c r="Z30" s="20">
        <v>49.4</v>
      </c>
      <c r="AA30" s="20">
        <v>50.15</v>
      </c>
      <c r="AB30" s="20">
        <v>51.05</v>
      </c>
      <c r="AC30" s="20">
        <v>51.97</v>
      </c>
      <c r="AD30" s="20">
        <v>52.9</v>
      </c>
      <c r="AE30" s="20">
        <v>53.75</v>
      </c>
      <c r="AF30" s="20">
        <v>54.56</v>
      </c>
      <c r="AG30" s="20">
        <v>55.21</v>
      </c>
    </row>
    <row r="31" spans="2:33" ht="11.25">
      <c r="B31" s="21" t="s">
        <v>29</v>
      </c>
      <c r="C31" s="15"/>
      <c r="D31" s="15"/>
      <c r="E31" s="15"/>
      <c r="F31" s="15"/>
      <c r="G31" s="15"/>
      <c r="H31" s="15"/>
      <c r="I31" s="15"/>
      <c r="J31" s="15"/>
      <c r="K31" s="15"/>
      <c r="L31" s="19">
        <v>73.17552827395699</v>
      </c>
      <c r="M31" s="19">
        <v>76.07205960146779</v>
      </c>
      <c r="N31" s="19">
        <v>78.51124387726635</v>
      </c>
      <c r="O31" s="19">
        <v>79.88328503240304</v>
      </c>
      <c r="P31" s="19">
        <v>82.47491832543902</v>
      </c>
      <c r="Q31" s="19">
        <v>84.15185751505054</v>
      </c>
      <c r="R31" s="19">
        <v>85.06655161847499</v>
      </c>
      <c r="S31" s="19">
        <v>86.89593982532392</v>
      </c>
      <c r="T31" s="19">
        <v>87.96308294598579</v>
      </c>
      <c r="U31" s="19">
        <v>88.87777704941026</v>
      </c>
      <c r="V31" s="19">
        <v>91.62185935968364</v>
      </c>
      <c r="W31" s="19">
        <v>93.45124756653256</v>
      </c>
      <c r="X31" s="19">
        <v>95.43308479061889</v>
      </c>
      <c r="Y31" s="20">
        <v>97.34880000000001</v>
      </c>
      <c r="Z31" s="20">
        <v>98.81</v>
      </c>
      <c r="AA31" s="20">
        <v>100.29</v>
      </c>
      <c r="AB31" s="20">
        <v>102.1</v>
      </c>
      <c r="AC31" s="20">
        <v>103.93</v>
      </c>
      <c r="AD31" s="20">
        <v>105.81</v>
      </c>
      <c r="AE31" s="20">
        <v>107.5</v>
      </c>
      <c r="AF31" s="20">
        <v>109.11</v>
      </c>
      <c r="AG31" s="20">
        <v>110.42</v>
      </c>
    </row>
    <row r="32" spans="2:33" ht="11.25">
      <c r="B32" s="21" t="s">
        <v>30</v>
      </c>
      <c r="C32" s="15"/>
      <c r="D32" s="15"/>
      <c r="E32" s="15"/>
      <c r="F32" s="15"/>
      <c r="G32" s="15"/>
      <c r="H32" s="15"/>
      <c r="I32" s="15"/>
      <c r="J32" s="15"/>
      <c r="K32" s="15"/>
      <c r="L32" s="19">
        <v>90.55471623902177</v>
      </c>
      <c r="M32" s="19">
        <v>94.21349265271961</v>
      </c>
      <c r="N32" s="19">
        <v>97.11002398023041</v>
      </c>
      <c r="O32" s="19">
        <v>98.93941218707934</v>
      </c>
      <c r="P32" s="19">
        <v>101.98839253182754</v>
      </c>
      <c r="Q32" s="19">
        <v>104.12267877315129</v>
      </c>
      <c r="R32" s="19">
        <v>105.34227091105058</v>
      </c>
      <c r="S32" s="19">
        <v>107.47655715237431</v>
      </c>
      <c r="T32" s="19">
        <v>108.84859830751101</v>
      </c>
      <c r="U32" s="19">
        <v>110.0681904454103</v>
      </c>
      <c r="V32" s="19">
        <v>113.26961980739591</v>
      </c>
      <c r="W32" s="19">
        <v>115.55635506595706</v>
      </c>
      <c r="X32" s="19">
        <v>118.14798835899305</v>
      </c>
      <c r="Y32" s="28">
        <v>120.46914000000001</v>
      </c>
      <c r="Z32" s="28">
        <v>122.27</v>
      </c>
      <c r="AA32" s="28">
        <v>124.11</v>
      </c>
      <c r="AB32" s="28">
        <v>126.34</v>
      </c>
      <c r="AC32" s="28">
        <v>128.62</v>
      </c>
      <c r="AD32" s="28">
        <v>130.94</v>
      </c>
      <c r="AE32" s="28">
        <v>133.03</v>
      </c>
      <c r="AF32" s="28">
        <v>135.03</v>
      </c>
      <c r="AG32" s="28">
        <v>136.65</v>
      </c>
    </row>
    <row r="33" spans="2:33" ht="11.25">
      <c r="B33" s="27" t="s">
        <v>17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16"/>
      <c r="X33" s="16"/>
      <c r="Y33" s="25"/>
      <c r="Z33" s="25"/>
      <c r="AA33" s="25"/>
      <c r="AB33" s="25"/>
      <c r="AC33" s="25"/>
      <c r="AD33" s="25"/>
      <c r="AE33" s="25"/>
      <c r="AF33" s="25"/>
      <c r="AG33" s="25"/>
    </row>
    <row r="34" spans="2:33" ht="11.25">
      <c r="B34" s="21" t="s">
        <v>12</v>
      </c>
      <c r="C34" s="15"/>
      <c r="D34" s="15"/>
      <c r="E34" s="15"/>
      <c r="F34" s="15"/>
      <c r="G34" s="15"/>
      <c r="H34" s="19">
        <v>191.97142495620903</v>
      </c>
      <c r="I34" s="19">
        <v>299.0859156926445</v>
      </c>
      <c r="J34" s="19">
        <v>299.0859156926445</v>
      </c>
      <c r="K34" s="19">
        <v>299.0859156926445</v>
      </c>
      <c r="L34" s="19">
        <v>308.03530820871896</v>
      </c>
      <c r="M34" s="19">
        <v>316.66011135892546</v>
      </c>
      <c r="N34" s="19">
        <v>322.0390208504521</v>
      </c>
      <c r="O34" s="19">
        <v>327.8816294360758</v>
      </c>
      <c r="P34" s="19">
        <v>338.1293794156222</v>
      </c>
      <c r="Q34" s="19">
        <v>338.1293794156222</v>
      </c>
      <c r="R34" s="19">
        <v>343.18369954128093</v>
      </c>
      <c r="S34" s="19">
        <v>343.18369954128093</v>
      </c>
      <c r="T34" s="19">
        <v>343.18369954128093</v>
      </c>
      <c r="U34" s="19">
        <v>371.052015096518</v>
      </c>
      <c r="V34" s="19">
        <v>382.18079335484896</v>
      </c>
      <c r="W34" s="19">
        <v>389.8318284074515</v>
      </c>
      <c r="X34" s="19">
        <v>398.36389173883856</v>
      </c>
      <c r="Y34" s="19">
        <v>406.3666666666666</v>
      </c>
      <c r="Z34" s="19">
        <f>13.56*30.4166666666667</f>
        <v>412.45000000000044</v>
      </c>
      <c r="AA34" s="19">
        <f>13.76*30.4166666666667</f>
        <v>418.53333333333376</v>
      </c>
      <c r="AB34" s="19">
        <f>14*30.4166666666667</f>
        <v>425.8333333333338</v>
      </c>
      <c r="AC34" s="19">
        <f>14.25*30.4166666666667</f>
        <v>433.43750000000045</v>
      </c>
      <c r="AD34" s="19">
        <f>14.51*30.4166666666667</f>
        <v>441.3458333333338</v>
      </c>
      <c r="AE34" s="19">
        <f>14.74*30.4166666666667</f>
        <v>448.34166666666715</v>
      </c>
      <c r="AF34" s="19">
        <f>14.96*30.4166666666667</f>
        <v>455.03333333333387</v>
      </c>
      <c r="AG34" s="19">
        <f>15.14*30.4166666666667</f>
        <v>460.50833333333384</v>
      </c>
    </row>
    <row r="35" spans="2:33" ht="11.25">
      <c r="B35" s="29" t="s">
        <v>13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19">
        <v>447.2854165745621</v>
      </c>
      <c r="N35" s="19">
        <v>456.88970466051893</v>
      </c>
      <c r="O35" s="19">
        <v>470.88643005562864</v>
      </c>
      <c r="P35" s="19">
        <v>485.63206124791725</v>
      </c>
      <c r="Q35" s="19">
        <v>485.63206124791725</v>
      </c>
      <c r="R35" s="19">
        <v>492.912137025242</v>
      </c>
      <c r="S35" s="19">
        <v>492.912137025242</v>
      </c>
      <c r="T35" s="19">
        <v>492.912137025242</v>
      </c>
      <c r="U35" s="19">
        <v>532.9757387552335</v>
      </c>
      <c r="V35" s="19">
        <v>548.9733575015842</v>
      </c>
      <c r="W35" s="19">
        <v>559.963026031686</v>
      </c>
      <c r="X35" s="19">
        <v>572.20468211585</v>
      </c>
      <c r="Y35" s="22">
        <v>583.6958333333333</v>
      </c>
      <c r="Z35" s="22">
        <v>592.2125</v>
      </c>
      <c r="AA35" s="19">
        <f>19.76*30.4166666666667</f>
        <v>601.033333333334</v>
      </c>
      <c r="AB35" s="19">
        <f>20.1*30.4166666666667</f>
        <v>611.3750000000007</v>
      </c>
      <c r="AC35" s="19">
        <f>20.46*30.4166666666667</f>
        <v>622.3250000000007</v>
      </c>
      <c r="AD35" s="19">
        <f>20.83*30.4166666666667</f>
        <v>633.5791666666673</v>
      </c>
      <c r="AE35" s="19">
        <f>21.16*30.4166666666667</f>
        <v>643.6166666666674</v>
      </c>
      <c r="AF35" s="19">
        <f>21.48*30.4166666666667</f>
        <v>653.3500000000007</v>
      </c>
      <c r="AG35" s="19">
        <f>21.74*30.4166666666667</f>
        <v>661.258333333334</v>
      </c>
    </row>
    <row r="36" spans="2:33" ht="11.25">
      <c r="B36" s="23" t="s">
        <v>46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5"/>
      <c r="X36" s="16"/>
      <c r="Y36" s="25"/>
      <c r="Z36" s="25"/>
      <c r="AA36" s="25"/>
      <c r="AB36" s="25"/>
      <c r="AC36" s="25"/>
      <c r="AD36" s="25"/>
      <c r="AE36" s="25"/>
      <c r="AF36" s="25"/>
      <c r="AG36" s="25"/>
    </row>
    <row r="37" spans="2:34" ht="11.25">
      <c r="B37" s="31"/>
      <c r="C37" s="30"/>
      <c r="D37" s="30"/>
      <c r="E37" s="30"/>
      <c r="F37" s="30"/>
      <c r="G37" s="30"/>
      <c r="H37" s="30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>
        <f>29.26*30.4166666666667</f>
        <v>889.9916666666677</v>
      </c>
      <c r="AA37" s="19">
        <f>29.7*30.4166666666667</f>
        <v>903.3750000000009</v>
      </c>
      <c r="AB37" s="19">
        <f>30.23*30.4166666666667</f>
        <v>919.4958333333343</v>
      </c>
      <c r="AC37" s="19">
        <f>30.77*30.4166666666667</f>
        <v>935.9208333333344</v>
      </c>
      <c r="AD37" s="19">
        <f>31.32*30.4166666666667</f>
        <v>952.650000000001</v>
      </c>
      <c r="AE37" s="19">
        <f>31.82*30.4166666666667</f>
        <v>967.8583333333344</v>
      </c>
      <c r="AF37" s="19">
        <f>32.3*30.4166666666667</f>
        <v>982.4583333333343</v>
      </c>
      <c r="AG37" s="19">
        <f>32.69*30.4166666666667</f>
        <v>994.3208333333343</v>
      </c>
      <c r="AH37" s="32"/>
    </row>
    <row r="38" spans="2:33" ht="11.25">
      <c r="B38" s="23" t="s">
        <v>47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16"/>
      <c r="X38" s="16"/>
      <c r="Y38" s="25"/>
      <c r="Z38" s="25"/>
      <c r="AA38" s="25"/>
      <c r="AB38" s="25"/>
      <c r="AC38" s="25"/>
      <c r="AD38" s="25"/>
      <c r="AE38" s="25"/>
      <c r="AF38" s="25"/>
      <c r="AG38" s="25"/>
    </row>
    <row r="39" spans="2:33" ht="11.25">
      <c r="B39" s="26" t="s">
        <v>20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7"/>
      <c r="X39" s="17"/>
      <c r="Y39" s="20"/>
      <c r="Z39" s="20"/>
      <c r="AA39" s="20"/>
      <c r="AB39" s="20"/>
      <c r="AC39" s="20"/>
      <c r="AD39" s="20"/>
      <c r="AE39" s="20"/>
      <c r="AF39" s="20"/>
      <c r="AG39" s="20"/>
    </row>
    <row r="40" spans="2:33" ht="11.25">
      <c r="B40" s="33"/>
      <c r="C40" s="30"/>
      <c r="D40" s="30"/>
      <c r="E40" s="30"/>
      <c r="F40" s="30"/>
      <c r="G40" s="30"/>
      <c r="H40" s="30"/>
      <c r="I40" s="19">
        <v>202.63650412044288</v>
      </c>
      <c r="J40" s="19">
        <v>202.63650412044288</v>
      </c>
      <c r="K40" s="19">
        <v>202.63650412044288</v>
      </c>
      <c r="L40" s="19">
        <v>202.63650412044288</v>
      </c>
      <c r="M40" s="19">
        <v>202.63650412044288</v>
      </c>
      <c r="N40" s="19">
        <v>202.63650412044288</v>
      </c>
      <c r="O40" s="19">
        <v>202.63650412044288</v>
      </c>
      <c r="P40" s="19">
        <v>202.63650412044288</v>
      </c>
      <c r="Q40" s="19">
        <v>202.63650412044288</v>
      </c>
      <c r="R40" s="19">
        <v>202.63650412044288</v>
      </c>
      <c r="S40" s="19">
        <v>202.63650412044288</v>
      </c>
      <c r="T40" s="19">
        <v>202.63650412044288</v>
      </c>
      <c r="U40" s="19">
        <v>261.3408094331387</v>
      </c>
      <c r="V40" s="19">
        <v>269.22369403278975</v>
      </c>
      <c r="W40" s="19">
        <v>274.6026035243164</v>
      </c>
      <c r="X40" s="19">
        <v>280.630691747579</v>
      </c>
      <c r="Y40" s="22">
        <v>286.22083333333336</v>
      </c>
      <c r="Z40" s="22">
        <v>290.4791666666667</v>
      </c>
      <c r="AA40" s="22">
        <f>9.69*30.4166666666667</f>
        <v>294.7375000000003</v>
      </c>
      <c r="AB40" s="22">
        <f>9.86*30.4166666666667</f>
        <v>299.9083333333333</v>
      </c>
      <c r="AC40" s="22">
        <f>10.04*30.4166666666667</f>
        <v>305.38333333333367</v>
      </c>
      <c r="AD40" s="22">
        <f>10.22*30.4166666666667</f>
        <v>310.8583333333337</v>
      </c>
      <c r="AE40" s="22">
        <f>10.38*30.4166666666667</f>
        <v>315.72500000000036</v>
      </c>
      <c r="AF40" s="22">
        <f>10.54*30.4166666666667</f>
        <v>320.591666666667</v>
      </c>
      <c r="AG40" s="22">
        <f>10.67*30.4166666666667</f>
        <v>324.5458333333337</v>
      </c>
    </row>
    <row r="41" spans="2:33" ht="11.25">
      <c r="B41" s="27" t="s">
        <v>48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16"/>
      <c r="X41" s="16"/>
      <c r="Y41" s="25"/>
      <c r="Z41" s="25"/>
      <c r="AA41" s="25"/>
      <c r="AB41" s="25"/>
      <c r="AC41" s="25"/>
      <c r="AD41" s="25"/>
      <c r="AE41" s="25"/>
      <c r="AF41" s="25"/>
      <c r="AG41" s="25"/>
    </row>
    <row r="42" spans="2:33" ht="11.25">
      <c r="B42" s="18" t="s">
        <v>31</v>
      </c>
      <c r="C42" s="19">
        <v>185.47862131206773</v>
      </c>
      <c r="D42" s="19">
        <v>215.9684247595498</v>
      </c>
      <c r="E42" s="19">
        <v>304.89803447482075</v>
      </c>
      <c r="F42" s="19">
        <v>336.60743006020215</v>
      </c>
      <c r="G42" s="19">
        <v>356.3495777924468</v>
      </c>
      <c r="H42" s="19">
        <v>376.54907257640366</v>
      </c>
      <c r="I42" s="19">
        <v>392.1750968432382</v>
      </c>
      <c r="J42" s="19">
        <v>401.32203787748284</v>
      </c>
      <c r="K42" s="19">
        <v>415.80469451503683</v>
      </c>
      <c r="L42" s="19">
        <v>426.6026584059626</v>
      </c>
      <c r="M42" s="19">
        <v>441.0853150435166</v>
      </c>
      <c r="N42" s="19">
        <v>454.42460405178997</v>
      </c>
      <c r="O42" s="19">
        <v>462.6827673155405</v>
      </c>
      <c r="P42" s="19">
        <v>477.29195663740154</v>
      </c>
      <c r="Q42" s="19">
        <v>486.85813246904905</v>
      </c>
      <c r="R42" s="19">
        <v>492.70150329975894</v>
      </c>
      <c r="S42" s="19">
        <v>517.1451787236053</v>
      </c>
      <c r="T42" s="19">
        <v>523.3696720974089</v>
      </c>
      <c r="U42" s="19">
        <v>529.1368184195001</v>
      </c>
      <c r="V42" s="19">
        <v>539.7320251175</v>
      </c>
      <c r="W42" s="19">
        <v>545.1317693080491</v>
      </c>
      <c r="X42" s="19">
        <v>557.1249334941162</v>
      </c>
      <c r="Y42" s="19">
        <v>569.38</v>
      </c>
      <c r="Z42" s="19">
        <v>577.92</v>
      </c>
      <c r="AA42" s="19">
        <v>587.74</v>
      </c>
      <c r="AB42" s="19">
        <v>599.49</v>
      </c>
      <c r="AC42" s="19">
        <v>610.28</v>
      </c>
      <c r="AD42" s="19">
        <v>621.27</v>
      </c>
      <c r="AE42" s="19">
        <v>628.1</v>
      </c>
      <c r="AF42" s="19">
        <v>652.6</v>
      </c>
      <c r="AG42" s="19">
        <v>681.63</v>
      </c>
    </row>
    <row r="43" spans="2:36" ht="11.25">
      <c r="B43" s="21" t="s">
        <v>38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9">
        <v>76.3769576359426</v>
      </c>
      <c r="Q43" s="19">
        <v>77.9014478083167</v>
      </c>
      <c r="R43" s="19">
        <v>78.81614191174117</v>
      </c>
      <c r="S43" s="19">
        <v>82.77981635991384</v>
      </c>
      <c r="T43" s="19">
        <v>83.6945104633383</v>
      </c>
      <c r="U43" s="19">
        <v>84.60920456676276</v>
      </c>
      <c r="V43" s="19">
        <v>86.28614375637427</v>
      </c>
      <c r="W43" s="19">
        <v>87.20083785979874</v>
      </c>
      <c r="X43" s="19">
        <v>89.18267508388507</v>
      </c>
      <c r="Y43" s="19">
        <v>91.1</v>
      </c>
      <c r="Z43" s="19">
        <v>92.47</v>
      </c>
      <c r="AA43" s="19">
        <v>94.04</v>
      </c>
      <c r="AB43" s="19">
        <v>95.92</v>
      </c>
      <c r="AC43" s="19">
        <v>97.64</v>
      </c>
      <c r="AD43" s="19">
        <v>99.4</v>
      </c>
      <c r="AE43" s="19">
        <v>100.5</v>
      </c>
      <c r="AF43" s="19">
        <v>100.5</v>
      </c>
      <c r="AG43" s="19">
        <v>100.5</v>
      </c>
      <c r="AJ43" s="5"/>
    </row>
    <row r="44" spans="2:33" ht="11.25">
      <c r="B44" s="21" t="s">
        <v>35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>
        <v>100</v>
      </c>
      <c r="AC44" s="19">
        <v>101.8</v>
      </c>
      <c r="AD44" s="19">
        <v>103.63</v>
      </c>
      <c r="AE44" s="19">
        <v>104.77</v>
      </c>
      <c r="AF44" s="19">
        <v>104.77</v>
      </c>
      <c r="AG44" s="19">
        <v>104.77</v>
      </c>
    </row>
    <row r="45" spans="2:33" ht="12.75">
      <c r="B45" s="27" t="s">
        <v>49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6"/>
      <c r="X45" s="16"/>
      <c r="Y45" s="25"/>
      <c r="Z45" s="25"/>
      <c r="AA45" s="25"/>
      <c r="AB45" s="180"/>
      <c r="AC45" s="180"/>
      <c r="AD45" s="180"/>
      <c r="AE45" s="180"/>
      <c r="AF45" s="25"/>
      <c r="AG45" s="25"/>
    </row>
    <row r="46" spans="2:33" ht="12.75">
      <c r="B46" s="14" t="s">
        <v>36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7"/>
      <c r="X46" s="17"/>
      <c r="Y46" s="20"/>
      <c r="Z46" s="20"/>
      <c r="AA46" s="20"/>
      <c r="AB46" s="180"/>
      <c r="AC46" s="180"/>
      <c r="AD46" s="180"/>
      <c r="AE46" s="180"/>
      <c r="AF46" s="20"/>
      <c r="AG46" s="20"/>
    </row>
    <row r="47" spans="2:33" ht="11.25">
      <c r="B47" s="34" t="s">
        <v>41</v>
      </c>
      <c r="C47" s="19">
        <v>185.4796376388493</v>
      </c>
      <c r="D47" s="19">
        <v>215.9694410863314</v>
      </c>
      <c r="E47" s="19">
        <v>304.89803447482075</v>
      </c>
      <c r="F47" s="19">
        <v>336.65824639928127</v>
      </c>
      <c r="G47" s="19">
        <v>356.3495777924468</v>
      </c>
      <c r="H47" s="19">
        <v>376.54907257640366</v>
      </c>
      <c r="I47" s="19">
        <v>392.1750968432382</v>
      </c>
      <c r="J47" s="19">
        <v>401.32203787748284</v>
      </c>
      <c r="K47" s="19">
        <v>415.80469451503683</v>
      </c>
      <c r="L47" s="19">
        <v>426.6031665693534</v>
      </c>
      <c r="M47" s="19">
        <v>441.0858232069074</v>
      </c>
      <c r="N47" s="19">
        <v>454.4251122151808</v>
      </c>
      <c r="O47" s="19">
        <v>462.6827673155405</v>
      </c>
      <c r="P47" s="19">
        <v>477.29246480079235</v>
      </c>
      <c r="Q47" s="19">
        <v>486.83323246290024</v>
      </c>
      <c r="R47" s="19">
        <v>492.7025196265406</v>
      </c>
      <c r="S47" s="19">
        <v>517.1451787236053</v>
      </c>
      <c r="T47" s="19">
        <v>523.3701802607997</v>
      </c>
      <c r="U47" s="19">
        <v>529.1378347462817</v>
      </c>
      <c r="V47" s="19">
        <v>539.7330414442818</v>
      </c>
      <c r="W47" s="19">
        <v>545.1322774714399</v>
      </c>
      <c r="X47" s="19">
        <v>557.1249334941162</v>
      </c>
      <c r="Y47" s="20">
        <v>569.3816666666667</v>
      </c>
      <c r="Z47" s="20">
        <v>577.92</v>
      </c>
      <c r="AA47" s="20">
        <v>587.74</v>
      </c>
      <c r="AB47" s="20">
        <v>599.49</v>
      </c>
      <c r="AC47" s="20">
        <v>610.28</v>
      </c>
      <c r="AD47" s="20">
        <v>621.27</v>
      </c>
      <c r="AE47" s="20">
        <v>628.1</v>
      </c>
      <c r="AF47" s="20">
        <f>7597.59/12</f>
        <v>633.1325</v>
      </c>
      <c r="AG47" s="20">
        <f>8125.59/12</f>
        <v>677.1325</v>
      </c>
    </row>
    <row r="48" spans="2:34" ht="11.25">
      <c r="B48" s="19" t="s">
        <v>39</v>
      </c>
      <c r="C48" s="19">
        <v>94.01022729640306</v>
      </c>
      <c r="D48" s="19">
        <v>107.9847205431657</v>
      </c>
      <c r="E48" s="19">
        <v>128.3112561748204</v>
      </c>
      <c r="F48" s="19">
        <v>143.55615789856142</v>
      </c>
      <c r="G48" s="19">
        <v>151.940853846619</v>
      </c>
      <c r="H48" s="19">
        <v>160.57963149007225</v>
      </c>
      <c r="I48" s="19">
        <v>167.18575557036007</v>
      </c>
      <c r="J48" s="19">
        <v>171.12402184899315</v>
      </c>
      <c r="K48" s="19">
        <v>177.22198253848956</v>
      </c>
      <c r="L48" s="19">
        <v>181.7954530556119</v>
      </c>
      <c r="M48" s="19">
        <v>188.02045459280612</v>
      </c>
      <c r="N48" s="19">
        <v>193.6737723153601</v>
      </c>
      <c r="O48" s="19">
        <v>197.16739562705075</v>
      </c>
      <c r="P48" s="19">
        <v>203.39239716424504</v>
      </c>
      <c r="Q48" s="19">
        <v>207.45770429057595</v>
      </c>
      <c r="R48" s="19">
        <v>209.96040899022344</v>
      </c>
      <c r="S48" s="19">
        <v>215.24530825445368</v>
      </c>
      <c r="T48" s="19">
        <v>217.83694154748966</v>
      </c>
      <c r="U48" s="19">
        <v>220.2380135689789</v>
      </c>
      <c r="V48" s="19">
        <v>222.89316728586374</v>
      </c>
      <c r="W48" s="19">
        <v>224.01112674560477</v>
      </c>
      <c r="X48" s="19">
        <v>228.94031163628105</v>
      </c>
      <c r="Y48" s="19">
        <v>233.97</v>
      </c>
      <c r="Z48" s="19">
        <v>237.48</v>
      </c>
      <c r="AA48" s="19">
        <v>241.52</v>
      </c>
      <c r="AB48" s="19">
        <v>246.35</v>
      </c>
      <c r="AC48" s="19">
        <v>250.78</v>
      </c>
      <c r="AD48" s="19">
        <v>255.3</v>
      </c>
      <c r="AE48" s="19">
        <v>258.1</v>
      </c>
      <c r="AF48" s="19">
        <f>3122.08/12</f>
        <v>260.17333333333335</v>
      </c>
      <c r="AG48" s="19">
        <f>3153.3/12</f>
        <v>262.77500000000003</v>
      </c>
      <c r="AH48" s="6"/>
    </row>
    <row r="49" spans="2:33" ht="11.25">
      <c r="B49" s="18" t="s">
        <v>40</v>
      </c>
      <c r="C49" s="20">
        <v>91.46941034244622</v>
      </c>
      <c r="D49" s="20">
        <v>107.9847205431657</v>
      </c>
      <c r="E49" s="20">
        <v>176.58677830000033</v>
      </c>
      <c r="F49" s="20">
        <v>193.10208850071982</v>
      </c>
      <c r="G49" s="20">
        <v>204.40872394582775</v>
      </c>
      <c r="H49" s="20">
        <v>215.9694410863314</v>
      </c>
      <c r="I49" s="20">
        <v>224.98934127287814</v>
      </c>
      <c r="J49" s="20">
        <v>230.1980160284897</v>
      </c>
      <c r="K49" s="20">
        <v>238.58271197654724</v>
      </c>
      <c r="L49" s="20">
        <v>244.8077135137415</v>
      </c>
      <c r="M49" s="20">
        <v>253.06536861410123</v>
      </c>
      <c r="N49" s="20">
        <v>260.75133989982066</v>
      </c>
      <c r="O49" s="20">
        <v>265.5153716884898</v>
      </c>
      <c r="P49" s="20">
        <v>273.9000676365473</v>
      </c>
      <c r="Q49" s="20">
        <v>279.3882322570941</v>
      </c>
      <c r="R49" s="20">
        <v>282.74211063631714</v>
      </c>
      <c r="S49" s="20">
        <v>301.89987046915167</v>
      </c>
      <c r="T49" s="20">
        <v>305.53323871330997</v>
      </c>
      <c r="U49" s="20">
        <v>308.8998211773028</v>
      </c>
      <c r="V49" s="20">
        <v>316.83987415841796</v>
      </c>
      <c r="W49" s="20">
        <v>321.12115072583515</v>
      </c>
      <c r="X49" s="20">
        <v>328.1846218578352</v>
      </c>
      <c r="Y49" s="20">
        <v>335.4</v>
      </c>
      <c r="Z49" s="20">
        <v>340.43</v>
      </c>
      <c r="AA49" s="20">
        <v>346.22</v>
      </c>
      <c r="AB49" s="20">
        <v>353.14</v>
      </c>
      <c r="AC49" s="20">
        <v>359.5</v>
      </c>
      <c r="AD49" s="20">
        <v>365.97</v>
      </c>
      <c r="AE49" s="20">
        <v>369.99</v>
      </c>
      <c r="AF49" s="20">
        <f>4475.49/12</f>
        <v>372.9575</v>
      </c>
      <c r="AG49" s="20">
        <f>4972.29/12</f>
        <v>414.3575</v>
      </c>
    </row>
    <row r="50" spans="2:33" ht="11.25">
      <c r="B50" s="35" t="s">
        <v>44</v>
      </c>
      <c r="C50" s="19">
        <v>370.9592752776986</v>
      </c>
      <c r="D50" s="19">
        <v>431.9388821726628</v>
      </c>
      <c r="E50" s="19">
        <v>564.0613637784185</v>
      </c>
      <c r="F50" s="19">
        <v>622.5001537194257</v>
      </c>
      <c r="G50" s="19">
        <v>652.7358754715121</v>
      </c>
      <c r="H50" s="19">
        <v>684.3690465482748</v>
      </c>
      <c r="I50" s="19">
        <v>710.6665020217281</v>
      </c>
      <c r="J50" s="19">
        <v>719.9404839036705</v>
      </c>
      <c r="K50" s="19">
        <v>746.110898529426</v>
      </c>
      <c r="L50" s="19">
        <v>765.5481482271958</v>
      </c>
      <c r="M50" s="19">
        <v>791.4644811575556</v>
      </c>
      <c r="N50" s="19">
        <v>815.3481605247498</v>
      </c>
      <c r="O50" s="19">
        <v>830.0848988576995</v>
      </c>
      <c r="P50" s="19">
        <v>856.255313483455</v>
      </c>
      <c r="Q50" s="19">
        <v>873.4058279226637</v>
      </c>
      <c r="R50" s="19">
        <v>883.8994019425054</v>
      </c>
      <c r="S50" s="19">
        <v>927.7539025678005</v>
      </c>
      <c r="T50" s="19">
        <v>938.9080889956709</v>
      </c>
      <c r="U50" s="19">
        <v>949.2492139982753</v>
      </c>
      <c r="V50" s="19">
        <v>968.2418207291026</v>
      </c>
      <c r="W50" s="19">
        <v>977.9223333236782</v>
      </c>
      <c r="X50" s="19">
        <v>999.4303488389229</v>
      </c>
      <c r="Y50" s="19">
        <v>1021.41</v>
      </c>
      <c r="Z50" s="19">
        <v>1036.73</v>
      </c>
      <c r="AA50" s="19">
        <v>1054.36</v>
      </c>
      <c r="AB50" s="19">
        <v>1075.45</v>
      </c>
      <c r="AC50" s="19">
        <v>1094.8</v>
      </c>
      <c r="AD50" s="19">
        <v>1114.51</v>
      </c>
      <c r="AE50" s="19">
        <v>1126.77</v>
      </c>
      <c r="AF50" s="19">
        <f>13629.44/12</f>
        <v>1135.7866666666666</v>
      </c>
      <c r="AG50" s="19">
        <f>13765.73/12</f>
        <v>1147.1441666666667</v>
      </c>
    </row>
    <row r="51" spans="2:36" ht="11.25">
      <c r="B51" s="18" t="s">
        <v>39</v>
      </c>
      <c r="C51" s="19">
        <v>188.02045459280612</v>
      </c>
      <c r="D51" s="19">
        <v>215.9694410863314</v>
      </c>
      <c r="E51" s="19">
        <v>256.6225123496408</v>
      </c>
      <c r="F51" s="19">
        <v>287.11231579712285</v>
      </c>
      <c r="G51" s="19">
        <v>303.881707693238</v>
      </c>
      <c r="H51" s="19">
        <v>321.1592629801445</v>
      </c>
      <c r="I51" s="19">
        <v>334.37151114072014</v>
      </c>
      <c r="J51" s="19">
        <v>342.2480436979863</v>
      </c>
      <c r="K51" s="19">
        <v>354.4439650769791</v>
      </c>
      <c r="L51" s="19">
        <v>363.5909061112238</v>
      </c>
      <c r="M51" s="19">
        <v>376.04090918561224</v>
      </c>
      <c r="N51" s="19">
        <v>387.3475446307202</v>
      </c>
      <c r="O51" s="19">
        <v>394.3347912541015</v>
      </c>
      <c r="P51" s="19">
        <v>406.7847943284901</v>
      </c>
      <c r="Q51" s="19">
        <v>414.9154085811519</v>
      </c>
      <c r="R51" s="19">
        <v>419.9208179804469</v>
      </c>
      <c r="S51" s="19">
        <v>430.49061650890735</v>
      </c>
      <c r="T51" s="19">
        <v>435.6738830949793</v>
      </c>
      <c r="U51" s="19">
        <v>440.4760271379578</v>
      </c>
      <c r="V51" s="19">
        <v>445.7863345717275</v>
      </c>
      <c r="W51" s="19">
        <v>448.02225349120954</v>
      </c>
      <c r="X51" s="19">
        <v>457.8806232725621</v>
      </c>
      <c r="Y51" s="20">
        <v>467.9533333333333</v>
      </c>
      <c r="Z51" s="20">
        <f aca="true" t="shared" si="0" ref="Z51:AE51">Z50-Z52</f>
        <v>474.97</v>
      </c>
      <c r="AA51" s="20">
        <f t="shared" si="0"/>
        <v>483.05999999999995</v>
      </c>
      <c r="AB51" s="20">
        <f t="shared" si="0"/>
        <v>492.71000000000004</v>
      </c>
      <c r="AC51" s="20">
        <f>AC50-AC52</f>
        <v>501.5799999999999</v>
      </c>
      <c r="AD51" s="20">
        <f t="shared" si="0"/>
        <v>510.61</v>
      </c>
      <c r="AE51" s="20">
        <f t="shared" si="0"/>
        <v>516.23</v>
      </c>
      <c r="AF51" s="20">
        <f>AF50-AF52</f>
        <v>520.3516666666666</v>
      </c>
      <c r="AG51" s="20">
        <f>AG50-AG52</f>
        <v>525.5500000000001</v>
      </c>
      <c r="AJ51" s="6"/>
    </row>
    <row r="52" spans="2:33" ht="11.25">
      <c r="B52" s="36" t="s">
        <v>40</v>
      </c>
      <c r="C52" s="28">
        <v>182.93882068489245</v>
      </c>
      <c r="D52" s="28">
        <v>215.9694410863314</v>
      </c>
      <c r="E52" s="28">
        <v>307.43885142877764</v>
      </c>
      <c r="F52" s="28">
        <v>335.3878379223028</v>
      </c>
      <c r="G52" s="28">
        <v>348.8541677782742</v>
      </c>
      <c r="H52" s="28">
        <v>363.2097835681302</v>
      </c>
      <c r="I52" s="28">
        <v>376.294990881008</v>
      </c>
      <c r="J52" s="28">
        <v>377.6924402056842</v>
      </c>
      <c r="K52" s="28">
        <v>391.66693345244687</v>
      </c>
      <c r="L52" s="28">
        <v>401.95724211597206</v>
      </c>
      <c r="M52" s="28">
        <v>415.42357197194326</v>
      </c>
      <c r="N52" s="28">
        <v>428.00061589402964</v>
      </c>
      <c r="O52" s="28">
        <v>435.75010760359805</v>
      </c>
      <c r="P52" s="28">
        <v>449.47051915496496</v>
      </c>
      <c r="Q52" s="28">
        <v>458.4904193415117</v>
      </c>
      <c r="R52" s="28">
        <v>463.9785839620585</v>
      </c>
      <c r="S52" s="28">
        <v>497.26328605889313</v>
      </c>
      <c r="T52" s="28">
        <v>503.2342059006917</v>
      </c>
      <c r="U52" s="28">
        <v>508.7731868603176</v>
      </c>
      <c r="V52" s="28">
        <v>522.4554861573752</v>
      </c>
      <c r="W52" s="28">
        <v>529.9000798324687</v>
      </c>
      <c r="X52" s="28">
        <v>541.5497255663607</v>
      </c>
      <c r="Y52" s="28">
        <v>553.4633333333334</v>
      </c>
      <c r="Z52" s="28">
        <f>280.88*2</f>
        <v>561.76</v>
      </c>
      <c r="AA52" s="28">
        <f>285.65*2</f>
        <v>571.3</v>
      </c>
      <c r="AB52" s="28">
        <f>291.37*2</f>
        <v>582.74</v>
      </c>
      <c r="AC52" s="28">
        <f>296.61*2</f>
        <v>593.22</v>
      </c>
      <c r="AD52" s="28">
        <f>301.95*2</f>
        <v>603.9</v>
      </c>
      <c r="AE52" s="28">
        <f>305.27*2</f>
        <v>610.54</v>
      </c>
      <c r="AF52" s="28">
        <f>7385.22/12</f>
        <v>615.4350000000001</v>
      </c>
      <c r="AG52" s="28">
        <f>7459.13/12</f>
        <v>621.5941666666666</v>
      </c>
    </row>
    <row r="53" spans="2:33" ht="11.25">
      <c r="B53" s="37" t="s">
        <v>32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</row>
    <row r="54" spans="2:33" ht="11.25">
      <c r="B54" s="38" t="s">
        <v>42</v>
      </c>
      <c r="C54" s="20">
        <v>91.46941034244622</v>
      </c>
      <c r="D54" s="20">
        <v>107.9847205431657</v>
      </c>
      <c r="E54" s="20">
        <v>176.58677830000033</v>
      </c>
      <c r="F54" s="20">
        <v>193.10208850071982</v>
      </c>
      <c r="G54" s="20">
        <v>204.40872394582775</v>
      </c>
      <c r="H54" s="20">
        <v>215.9694410863314</v>
      </c>
      <c r="I54" s="20">
        <v>224.98934127287814</v>
      </c>
      <c r="J54" s="20">
        <v>230.1980160284897</v>
      </c>
      <c r="K54" s="20">
        <v>238.58271197654724</v>
      </c>
      <c r="L54" s="20">
        <v>244.8077135137415</v>
      </c>
      <c r="M54" s="20">
        <v>253.06536861410123</v>
      </c>
      <c r="N54" s="20">
        <v>260.75133989982066</v>
      </c>
      <c r="O54" s="20">
        <v>265.5153716884898</v>
      </c>
      <c r="P54" s="20">
        <v>273.9000676365473</v>
      </c>
      <c r="Q54" s="20">
        <v>279.3882322570941</v>
      </c>
      <c r="R54" s="20">
        <v>282.74211063631714</v>
      </c>
      <c r="S54" s="20">
        <v>301.89987046915167</v>
      </c>
      <c r="T54" s="20">
        <v>305.53323871330997</v>
      </c>
      <c r="U54" s="20">
        <v>308.8998211773028</v>
      </c>
      <c r="V54" s="20">
        <v>316.83987415841796</v>
      </c>
      <c r="W54" s="20">
        <v>321.12115072583515</v>
      </c>
      <c r="X54" s="20">
        <v>328.1846218578352</v>
      </c>
      <c r="Y54" s="20">
        <v>335.4</v>
      </c>
      <c r="Z54" s="20">
        <v>340.43</v>
      </c>
      <c r="AA54" s="20">
        <v>346.22</v>
      </c>
      <c r="AB54" s="20">
        <v>353.14</v>
      </c>
      <c r="AC54" s="20">
        <v>359.5</v>
      </c>
      <c r="AD54" s="20">
        <v>365.97</v>
      </c>
      <c r="AE54" s="20">
        <v>369.99</v>
      </c>
      <c r="AF54" s="20">
        <v>372.9575</v>
      </c>
      <c r="AG54" s="20">
        <f>4520.24/12</f>
        <v>376.68666666666667</v>
      </c>
    </row>
    <row r="55" spans="2:33" ht="11.25">
      <c r="B55" s="38" t="s">
        <v>44</v>
      </c>
      <c r="C55" s="20">
        <v>182.93882068489245</v>
      </c>
      <c r="D55" s="20">
        <v>215.9694410863314</v>
      </c>
      <c r="E55" s="20">
        <v>307.43885142877764</v>
      </c>
      <c r="F55" s="20">
        <v>335.3878379223028</v>
      </c>
      <c r="G55" s="20">
        <v>348.8541677782742</v>
      </c>
      <c r="H55" s="20">
        <v>363.2097835681302</v>
      </c>
      <c r="I55" s="20">
        <v>376.294990881008</v>
      </c>
      <c r="J55" s="20">
        <v>377.6924402056842</v>
      </c>
      <c r="K55" s="20">
        <v>391.66693345244687</v>
      </c>
      <c r="L55" s="20">
        <v>401.95724211597206</v>
      </c>
      <c r="M55" s="20">
        <v>415.42357197194326</v>
      </c>
      <c r="N55" s="20">
        <v>428.00061589402964</v>
      </c>
      <c r="O55" s="20">
        <v>435.75010760359805</v>
      </c>
      <c r="P55" s="20">
        <v>449.47051915496496</v>
      </c>
      <c r="Q55" s="20">
        <v>458.4904193415117</v>
      </c>
      <c r="R55" s="20">
        <v>463.9785839620585</v>
      </c>
      <c r="S55" s="20">
        <v>497.26328605889313</v>
      </c>
      <c r="T55" s="20">
        <v>503.2342059006917</v>
      </c>
      <c r="U55" s="20">
        <v>508.7731868603176</v>
      </c>
      <c r="V55" s="20">
        <v>522.4554861573752</v>
      </c>
      <c r="W55" s="20">
        <v>529.9000798324687</v>
      </c>
      <c r="X55" s="20">
        <v>541.5497255663607</v>
      </c>
      <c r="Y55" s="20">
        <v>553.4633333333334</v>
      </c>
      <c r="Z55" s="20">
        <v>561.76</v>
      </c>
      <c r="AA55" s="20">
        <v>571.3</v>
      </c>
      <c r="AB55" s="20">
        <v>582.74</v>
      </c>
      <c r="AC55" s="20">
        <v>593.22</v>
      </c>
      <c r="AD55" s="20">
        <v>603.9</v>
      </c>
      <c r="AE55" s="20">
        <v>610.54</v>
      </c>
      <c r="AF55" s="20">
        <v>615.435</v>
      </c>
      <c r="AG55" s="20">
        <f>7459.07/12</f>
        <v>621.5891666666666</v>
      </c>
    </row>
    <row r="56" spans="2:33" ht="11.25">
      <c r="B56" s="27" t="s">
        <v>18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16"/>
      <c r="X56" s="16"/>
      <c r="Y56" s="25"/>
      <c r="Z56" s="25"/>
      <c r="AA56" s="25"/>
      <c r="AB56" s="25"/>
      <c r="AC56" s="25"/>
      <c r="AD56" s="25"/>
      <c r="AE56" s="25"/>
      <c r="AF56" s="25"/>
      <c r="AG56" s="25"/>
    </row>
    <row r="57" spans="2:33" ht="11.25">
      <c r="B57" s="35" t="s">
        <v>14</v>
      </c>
      <c r="C57" s="39"/>
      <c r="D57" s="39"/>
      <c r="E57" s="39"/>
      <c r="F57" s="39"/>
      <c r="G57" s="39"/>
      <c r="H57" s="39"/>
      <c r="I57" s="39"/>
      <c r="J57" s="39"/>
      <c r="K57" s="39"/>
      <c r="L57" s="19">
        <v>391.18417823119506</v>
      </c>
      <c r="M57" s="19">
        <v>404.4472427308497</v>
      </c>
      <c r="N57" s="19">
        <v>416.6431641098426</v>
      </c>
      <c r="O57" s="19">
        <v>424.2656149717131</v>
      </c>
      <c r="P57" s="19">
        <v>437.5286794713678</v>
      </c>
      <c r="Q57" s="19">
        <v>446.21827345390017</v>
      </c>
      <c r="R57" s="19">
        <v>451.55398905720955</v>
      </c>
      <c r="S57" s="19">
        <v>462.98766535001533</v>
      </c>
      <c r="T57" s="19">
        <v>468.4758299705621</v>
      </c>
      <c r="U57" s="19">
        <v>473.65909655663404</v>
      </c>
      <c r="V57" s="19">
        <v>479.29971019441825</v>
      </c>
      <c r="W57" s="19">
        <v>481.7388944702168</v>
      </c>
      <c r="X57" s="19">
        <v>492.41032567683555</v>
      </c>
      <c r="Y57" s="19">
        <v>503.24</v>
      </c>
      <c r="Z57" s="19">
        <v>510.78</v>
      </c>
      <c r="AA57" s="19">
        <v>519.46</v>
      </c>
      <c r="AB57" s="19">
        <v>529.84</v>
      </c>
      <c r="AC57" s="19">
        <v>539.37</v>
      </c>
      <c r="AD57" s="19">
        <v>549.07</v>
      </c>
      <c r="AE57" s="19">
        <v>555.1</v>
      </c>
      <c r="AF57" s="19">
        <v>559.54</v>
      </c>
      <c r="AG57" s="19">
        <v>565.13</v>
      </c>
    </row>
    <row r="58" spans="2:33" ht="11.25">
      <c r="B58" s="21" t="s">
        <v>23</v>
      </c>
      <c r="C58" s="39"/>
      <c r="D58" s="39"/>
      <c r="E58" s="39"/>
      <c r="F58" s="39"/>
      <c r="G58" s="39"/>
      <c r="H58" s="39"/>
      <c r="I58" s="39"/>
      <c r="J58" s="39"/>
      <c r="K58" s="39"/>
      <c r="L58" s="19">
        <v>257.0290430622739</v>
      </c>
      <c r="M58" s="19">
        <v>265.7186370448063</v>
      </c>
      <c r="N58" s="19">
        <v>273.79843495838907</v>
      </c>
      <c r="O58" s="19">
        <v>278.6768035099862</v>
      </c>
      <c r="P58" s="19">
        <v>287.36639749251856</v>
      </c>
      <c r="Q58" s="19">
        <v>293.1594601475402</v>
      </c>
      <c r="R58" s="19">
        <v>296.6657875440006</v>
      </c>
      <c r="S58" s="19">
        <v>304.1357893886337</v>
      </c>
      <c r="T58" s="19">
        <v>307.79456580233153</v>
      </c>
      <c r="U58" s="19">
        <v>311.14844418155457</v>
      </c>
      <c r="V58" s="19">
        <v>314.80722059525243</v>
      </c>
      <c r="W58" s="19">
        <v>481.7388944702168</v>
      </c>
      <c r="X58" s="19">
        <v>492.41032567683555</v>
      </c>
      <c r="Y58" s="19">
        <v>503.24</v>
      </c>
      <c r="Z58" s="19">
        <v>510.78</v>
      </c>
      <c r="AA58" s="19">
        <v>519.46</v>
      </c>
      <c r="AB58" s="19">
        <v>529.84</v>
      </c>
      <c r="AC58" s="19">
        <v>539.37</v>
      </c>
      <c r="AD58" s="19">
        <v>549.07</v>
      </c>
      <c r="AE58" s="19">
        <v>555.1</v>
      </c>
      <c r="AF58" s="19">
        <v>559.54</v>
      </c>
      <c r="AG58" s="19">
        <v>565.13</v>
      </c>
    </row>
    <row r="59" spans="2:33" ht="11.25">
      <c r="B59" s="40" t="s">
        <v>24</v>
      </c>
      <c r="C59" s="41"/>
      <c r="D59" s="41"/>
      <c r="E59" s="41"/>
      <c r="F59" s="41"/>
      <c r="G59" s="41"/>
      <c r="H59" s="41"/>
      <c r="I59" s="41"/>
      <c r="J59" s="41"/>
      <c r="K59" s="41"/>
      <c r="L59" s="22">
        <v>195.74453813283492</v>
      </c>
      <c r="M59" s="22">
        <v>202.29984587404357</v>
      </c>
      <c r="N59" s="22">
        <v>208.39780656354</v>
      </c>
      <c r="O59" s="22">
        <v>212.20903199447525</v>
      </c>
      <c r="P59" s="22">
        <v>218.7643397356839</v>
      </c>
      <c r="Q59" s="22">
        <v>223.1853612355688</v>
      </c>
      <c r="R59" s="22">
        <v>225.9294435458422</v>
      </c>
      <c r="S59" s="22">
        <v>231.57005718362637</v>
      </c>
      <c r="T59" s="22">
        <v>234.31413949389975</v>
      </c>
      <c r="U59" s="22">
        <v>236.90577278693573</v>
      </c>
      <c r="V59" s="22">
        <v>239.80230411444654</v>
      </c>
      <c r="W59" s="22">
        <v>481.74</v>
      </c>
      <c r="X59" s="22">
        <v>492.41</v>
      </c>
      <c r="Y59" s="22">
        <v>503.24</v>
      </c>
      <c r="Z59" s="22">
        <v>510.78</v>
      </c>
      <c r="AA59" s="22">
        <v>519.46</v>
      </c>
      <c r="AB59" s="22">
        <v>529.84</v>
      </c>
      <c r="AC59" s="22"/>
      <c r="AD59" s="22"/>
      <c r="AE59" s="22"/>
      <c r="AF59" s="22"/>
      <c r="AG59" s="22"/>
    </row>
    <row r="60" ht="11.25">
      <c r="W60" s="43"/>
    </row>
    <row r="61" ht="11.25"/>
    <row r="62" ht="11.25"/>
    <row r="63" ht="11.25">
      <c r="B63" s="4"/>
    </row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5" spans="2:35" s="7" customFormat="1" ht="11.25">
      <c r="B85" s="44" t="s">
        <v>15</v>
      </c>
      <c r="C85" s="44">
        <v>1980</v>
      </c>
      <c r="D85" s="44">
        <v>1981</v>
      </c>
      <c r="E85" s="44">
        <v>1982</v>
      </c>
      <c r="F85" s="44">
        <v>1983</v>
      </c>
      <c r="G85" s="44">
        <v>1984</v>
      </c>
      <c r="H85" s="44">
        <v>1985</v>
      </c>
      <c r="I85" s="44">
        <v>1986</v>
      </c>
      <c r="J85" s="44">
        <v>1987</v>
      </c>
      <c r="K85" s="44">
        <v>1988</v>
      </c>
      <c r="L85" s="44">
        <v>1989</v>
      </c>
      <c r="M85" s="44">
        <v>1990</v>
      </c>
      <c r="N85" s="44">
        <v>1991</v>
      </c>
      <c r="O85" s="44">
        <v>1992</v>
      </c>
      <c r="P85" s="44">
        <v>1993</v>
      </c>
      <c r="Q85" s="44">
        <v>1994</v>
      </c>
      <c r="R85" s="44">
        <v>1995</v>
      </c>
      <c r="S85" s="44">
        <v>1996</v>
      </c>
      <c r="T85" s="44">
        <v>1997</v>
      </c>
      <c r="U85" s="44">
        <v>1998</v>
      </c>
      <c r="V85" s="44">
        <v>1999</v>
      </c>
      <c r="W85" s="44">
        <v>2000</v>
      </c>
      <c r="X85" s="44">
        <v>2001</v>
      </c>
      <c r="Y85" s="44">
        <v>2002</v>
      </c>
      <c r="Z85" s="44">
        <v>2003</v>
      </c>
      <c r="AA85" s="44">
        <v>2004</v>
      </c>
      <c r="AB85" s="44">
        <v>2005</v>
      </c>
      <c r="AC85" s="44">
        <v>2006</v>
      </c>
      <c r="AD85" s="44">
        <v>2007</v>
      </c>
      <c r="AE85" s="44">
        <v>2008</v>
      </c>
      <c r="AF85" s="44">
        <v>2009</v>
      </c>
      <c r="AG85" s="44">
        <v>2010</v>
      </c>
      <c r="AH85" s="3"/>
      <c r="AI85" s="3"/>
    </row>
    <row r="86" spans="2:33" ht="11.25">
      <c r="B86" s="45" t="s">
        <v>16</v>
      </c>
      <c r="C86" s="46">
        <v>1.9711657928797162</v>
      </c>
      <c r="D86" s="46">
        <v>2.2547209649412996</v>
      </c>
      <c r="E86" s="46">
        <v>2.7669496628589982</v>
      </c>
      <c r="F86" s="46">
        <v>3.0931905597470566</v>
      </c>
      <c r="G86" s="46">
        <v>3.4727886126682086</v>
      </c>
      <c r="H86" s="46">
        <v>3.7136580599033167</v>
      </c>
      <c r="I86" s="46">
        <v>3.969772408862166</v>
      </c>
      <c r="J86" s="46">
        <v>4.103927544031087</v>
      </c>
      <c r="K86" s="46">
        <v>4.244180639889505</v>
      </c>
      <c r="L86" s="46">
        <v>4.384433735747923</v>
      </c>
      <c r="M86" s="46">
        <v>4.559750105570944</v>
      </c>
      <c r="N86" s="46">
        <v>4.869221610562888</v>
      </c>
      <c r="O86" s="46">
        <v>4.9789849029738225</v>
      </c>
      <c r="P86" s="46">
        <v>5.192413527106198</v>
      </c>
      <c r="Q86" s="46">
        <v>5.309799270379004</v>
      </c>
      <c r="R86" s="46">
        <v>5.421087052962314</v>
      </c>
      <c r="S86" s="46">
        <v>5.637564657439436</v>
      </c>
      <c r="T86" s="46">
        <v>5.779342243470227</v>
      </c>
      <c r="U86" s="46">
        <v>6.011064749671092</v>
      </c>
      <c r="V86" s="46">
        <v>6.131499473288645</v>
      </c>
      <c r="W86" s="46">
        <v>6.207723981907351</v>
      </c>
      <c r="X86" s="46">
        <v>6.405907704315985</v>
      </c>
      <c r="Y86" s="45">
        <v>6.67</v>
      </c>
      <c r="Z86" s="45">
        <v>6.83</v>
      </c>
      <c r="AA86" s="45">
        <v>7.19</v>
      </c>
      <c r="AB86" s="45">
        <v>7.61</v>
      </c>
      <c r="AC86" s="45">
        <v>8.03</v>
      </c>
      <c r="AD86" s="45">
        <v>8.27</v>
      </c>
      <c r="AE86" s="45">
        <v>8.44</v>
      </c>
      <c r="AF86" s="45">
        <v>8.71</v>
      </c>
      <c r="AG86" s="45">
        <v>8.86</v>
      </c>
    </row>
    <row r="87" spans="2:25" ht="11.25">
      <c r="B87" s="3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3"/>
    </row>
    <row r="88" spans="1:34" ht="12.75">
      <c r="A88" s="79"/>
      <c r="B88" s="76" t="s">
        <v>59</v>
      </c>
      <c r="C88" s="76"/>
      <c r="D88" s="76"/>
      <c r="E88" s="76"/>
      <c r="F88" s="76"/>
      <c r="G88" s="76"/>
      <c r="H88" s="76"/>
      <c r="I88" s="76"/>
      <c r="J88" s="76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</row>
    <row r="89" spans="1:34" ht="11.25">
      <c r="A89" s="47"/>
      <c r="B89" s="88" t="s">
        <v>60</v>
      </c>
      <c r="C89" s="88"/>
      <c r="D89" s="88"/>
      <c r="E89" s="88"/>
      <c r="F89" s="88"/>
      <c r="G89" s="88"/>
      <c r="H89" s="88"/>
      <c r="I89" s="88"/>
      <c r="J89" s="88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</row>
    <row r="90" spans="1:34" ht="11.25">
      <c r="A90" s="47"/>
      <c r="B90" s="88"/>
      <c r="C90" s="88"/>
      <c r="D90" s="88"/>
      <c r="E90" s="88"/>
      <c r="F90" s="88"/>
      <c r="G90" s="88"/>
      <c r="H90" s="88"/>
      <c r="I90" s="88"/>
      <c r="J90" s="88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</row>
    <row r="91" spans="1:34" ht="11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</row>
    <row r="92" spans="1:34" ht="12">
      <c r="A92" s="47"/>
      <c r="B92" s="89" t="s">
        <v>61</v>
      </c>
      <c r="C92" s="90"/>
      <c r="D92" s="90"/>
      <c r="E92" s="90"/>
      <c r="F92" s="90"/>
      <c r="G92" s="90"/>
      <c r="H92" s="90"/>
      <c r="I92" s="90"/>
      <c r="J92" s="90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</row>
    <row r="93" spans="1:34" ht="11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</row>
    <row r="94" spans="1:34" ht="11.25">
      <c r="A94" s="91"/>
      <c r="B94" s="91"/>
      <c r="C94" s="92">
        <v>1990</v>
      </c>
      <c r="D94" s="92">
        <v>1991</v>
      </c>
      <c r="E94" s="92">
        <v>1992</v>
      </c>
      <c r="F94" s="92">
        <v>1993</v>
      </c>
      <c r="G94" s="92">
        <v>1994</v>
      </c>
      <c r="H94" s="92">
        <v>1995</v>
      </c>
      <c r="I94" s="92">
        <v>1996</v>
      </c>
      <c r="J94" s="92">
        <v>1997</v>
      </c>
      <c r="K94" s="92">
        <v>1998</v>
      </c>
      <c r="L94" s="92">
        <v>1999</v>
      </c>
      <c r="M94" s="92">
        <v>2000</v>
      </c>
      <c r="N94" s="92">
        <v>2001</v>
      </c>
      <c r="O94" s="92">
        <v>2002</v>
      </c>
      <c r="P94" s="92">
        <v>2003</v>
      </c>
      <c r="Q94" s="92">
        <v>2004</v>
      </c>
      <c r="R94" s="92">
        <v>2005</v>
      </c>
      <c r="S94" s="92">
        <v>2006</v>
      </c>
      <c r="T94" s="92">
        <v>2007</v>
      </c>
      <c r="U94" s="92">
        <v>2008</v>
      </c>
      <c r="V94" s="92">
        <v>2009</v>
      </c>
      <c r="W94" s="92">
        <v>2010</v>
      </c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</row>
    <row r="95" spans="1:34" ht="11.25">
      <c r="A95" s="47"/>
      <c r="B95" s="93" t="s">
        <v>62</v>
      </c>
      <c r="C95" s="94" t="s">
        <v>63</v>
      </c>
      <c r="D95" s="94">
        <v>88.77388255915864</v>
      </c>
      <c r="E95" s="94">
        <v>91.12839614373357</v>
      </c>
      <c r="F95" s="94">
        <v>92.87248028045575</v>
      </c>
      <c r="G95" s="94">
        <v>94.26774758983348</v>
      </c>
      <c r="H95" s="94">
        <v>95.75021910604734</v>
      </c>
      <c r="I95" s="94">
        <v>97.4943032427695</v>
      </c>
      <c r="J95" s="94">
        <v>99.06397896581946</v>
      </c>
      <c r="K95" s="94">
        <v>99.5</v>
      </c>
      <c r="L95" s="94">
        <v>99.6</v>
      </c>
      <c r="M95" s="94">
        <v>101.1</v>
      </c>
      <c r="N95" s="94">
        <v>102.3</v>
      </c>
      <c r="O95" s="94">
        <v>104.4</v>
      </c>
      <c r="P95" s="94">
        <v>106.3</v>
      </c>
      <c r="Q95" s="94">
        <v>107.8</v>
      </c>
      <c r="R95" s="94">
        <v>109.5</v>
      </c>
      <c r="S95" s="94">
        <v>111.78</v>
      </c>
      <c r="T95" s="94">
        <v>113.19</v>
      </c>
      <c r="U95" s="94">
        <v>116.32</v>
      </c>
      <c r="V95" s="98">
        <v>117.1</v>
      </c>
      <c r="W95" s="98">
        <v>118.3</v>
      </c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</row>
    <row r="96" spans="1:34" ht="11.25">
      <c r="A96" s="47"/>
      <c r="B96" s="93" t="s">
        <v>64</v>
      </c>
      <c r="C96" s="94">
        <v>87.1</v>
      </c>
      <c r="D96" s="94">
        <v>89.89547038327527</v>
      </c>
      <c r="E96" s="94">
        <v>91.98606271777004</v>
      </c>
      <c r="F96" s="94">
        <v>93.6411149825784</v>
      </c>
      <c r="G96" s="94">
        <v>94.94773519163763</v>
      </c>
      <c r="H96" s="94">
        <v>96.51567944250871</v>
      </c>
      <c r="I96" s="94">
        <v>98.34494773519164</v>
      </c>
      <c r="J96" s="94">
        <v>99.39024390243902</v>
      </c>
      <c r="K96" s="94">
        <v>100</v>
      </c>
      <c r="L96" s="94">
        <v>100.5</v>
      </c>
      <c r="M96" s="94">
        <v>102.1</v>
      </c>
      <c r="N96" s="94">
        <v>103.7</v>
      </c>
      <c r="O96" s="94">
        <v>105.5</v>
      </c>
      <c r="P96" s="94">
        <v>107.5</v>
      </c>
      <c r="Q96" s="94">
        <v>109.3</v>
      </c>
      <c r="R96" s="94">
        <v>111.2</v>
      </c>
      <c r="S96" s="94">
        <v>113.1</v>
      </c>
      <c r="T96" s="94">
        <v>114.76</v>
      </c>
      <c r="U96" s="94">
        <v>117.97</v>
      </c>
      <c r="V96" s="94">
        <v>118</v>
      </c>
      <c r="W96" s="98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</row>
    <row r="97" spans="1:34" ht="11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</row>
    <row r="98" spans="1:34" ht="11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</row>
    <row r="99" spans="1:34" ht="12">
      <c r="A99" s="47"/>
      <c r="B99" s="89" t="s">
        <v>65</v>
      </c>
      <c r="C99" s="90"/>
      <c r="D99" s="90"/>
      <c r="E99" s="90"/>
      <c r="F99" s="90"/>
      <c r="G99" s="90"/>
      <c r="H99" s="90"/>
      <c r="I99" s="90"/>
      <c r="J99" s="90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</row>
    <row r="100" spans="1:34" ht="11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</row>
    <row r="101" spans="1:34" ht="11.25">
      <c r="A101" s="47"/>
      <c r="B101" s="47"/>
      <c r="C101" s="92">
        <v>1990</v>
      </c>
      <c r="D101" s="92">
        <v>1991</v>
      </c>
      <c r="E101" s="92">
        <v>1992</v>
      </c>
      <c r="F101" s="92">
        <v>1993</v>
      </c>
      <c r="G101" s="92">
        <v>1994</v>
      </c>
      <c r="H101" s="92">
        <v>1995</v>
      </c>
      <c r="I101" s="92">
        <v>1996</v>
      </c>
      <c r="J101" s="92">
        <v>1997</v>
      </c>
      <c r="K101" s="92">
        <v>1998</v>
      </c>
      <c r="L101" s="92">
        <v>1999</v>
      </c>
      <c r="M101" s="92">
        <v>2000</v>
      </c>
      <c r="N101" s="92">
        <v>2001</v>
      </c>
      <c r="O101" s="92">
        <v>2002</v>
      </c>
      <c r="P101" s="92">
        <v>2003</v>
      </c>
      <c r="Q101" s="92">
        <v>2004</v>
      </c>
      <c r="R101" s="92">
        <v>2005</v>
      </c>
      <c r="S101" s="92">
        <v>2006</v>
      </c>
      <c r="T101" s="92">
        <v>2007</v>
      </c>
      <c r="U101" s="92">
        <v>2008</v>
      </c>
      <c r="V101" s="99">
        <v>2009</v>
      </c>
      <c r="W101" s="99">
        <v>2010</v>
      </c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</row>
    <row r="102" spans="1:34" ht="11.25">
      <c r="A102" s="47"/>
      <c r="B102" s="93" t="s">
        <v>62</v>
      </c>
      <c r="C102" s="94">
        <v>85.0021682567216</v>
      </c>
      <c r="D102" s="94">
        <v>87.84995663486558</v>
      </c>
      <c r="E102" s="94">
        <v>90.17996530789246</v>
      </c>
      <c r="F102" s="94">
        <v>92.07849089332177</v>
      </c>
      <c r="G102" s="94">
        <v>93.80442324371205</v>
      </c>
      <c r="H102" s="94">
        <v>95.35776235906332</v>
      </c>
      <c r="I102" s="94">
        <v>97.25628794449263</v>
      </c>
      <c r="J102" s="94">
        <v>98.98222029488291</v>
      </c>
      <c r="K102" s="94">
        <v>99.5</v>
      </c>
      <c r="L102" s="94">
        <v>99.7</v>
      </c>
      <c r="M102" s="94">
        <v>101.3</v>
      </c>
      <c r="N102" s="94">
        <v>102.5</v>
      </c>
      <c r="O102" s="94">
        <v>104.8</v>
      </c>
      <c r="P102" s="94">
        <v>106.9</v>
      </c>
      <c r="Q102" s="94">
        <v>109</v>
      </c>
      <c r="R102" s="94">
        <v>110.7</v>
      </c>
      <c r="S102" s="94">
        <v>112.94</v>
      </c>
      <c r="T102" s="94">
        <v>114.34</v>
      </c>
      <c r="U102" s="94">
        <v>117.56</v>
      </c>
      <c r="V102" s="98">
        <v>118.4</v>
      </c>
      <c r="W102" s="98">
        <v>119.7</v>
      </c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</row>
    <row r="103" spans="1:34" ht="11.25">
      <c r="A103" s="47"/>
      <c r="B103" s="93" t="s">
        <v>64</v>
      </c>
      <c r="C103" s="94">
        <v>86.20689655172414</v>
      </c>
      <c r="D103" s="94">
        <v>88.96551724137932</v>
      </c>
      <c r="E103" s="94">
        <v>91.12068965517241</v>
      </c>
      <c r="F103" s="94">
        <v>93.01724137931035</v>
      </c>
      <c r="G103" s="94">
        <v>94.56896551724138</v>
      </c>
      <c r="H103" s="94">
        <v>96.20689655172414</v>
      </c>
      <c r="I103" s="94">
        <v>98.10344827586206</v>
      </c>
      <c r="J103" s="94">
        <v>99.3103448275862</v>
      </c>
      <c r="K103" s="94">
        <v>100</v>
      </c>
      <c r="L103" s="94">
        <v>100.5</v>
      </c>
      <c r="M103" s="94">
        <v>102.2</v>
      </c>
      <c r="N103" s="94">
        <v>103.9</v>
      </c>
      <c r="O103" s="94">
        <v>105.9</v>
      </c>
      <c r="P103" s="94">
        <v>108.1</v>
      </c>
      <c r="Q103" s="94">
        <v>110.4</v>
      </c>
      <c r="R103" s="94">
        <v>112.4</v>
      </c>
      <c r="S103" s="94">
        <v>114.24</v>
      </c>
      <c r="T103" s="94">
        <v>115.94</v>
      </c>
      <c r="U103" s="94">
        <v>119.2</v>
      </c>
      <c r="V103" s="98">
        <v>119.3</v>
      </c>
      <c r="W103" s="98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</row>
    <row r="104" spans="1:34" ht="11.25">
      <c r="A104" s="47"/>
      <c r="B104" s="95"/>
      <c r="C104" s="96"/>
      <c r="D104" s="96"/>
      <c r="E104" s="96"/>
      <c r="F104" s="96"/>
      <c r="G104" s="96"/>
      <c r="H104" s="96"/>
      <c r="I104" s="96"/>
      <c r="J104" s="96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</row>
    <row r="105" spans="1:34" ht="11.25">
      <c r="A105" s="47"/>
      <c r="B105" s="88" t="s">
        <v>66</v>
      </c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</row>
    <row r="106" spans="1:34" ht="11.25">
      <c r="A106" s="47"/>
      <c r="B106" s="88" t="s">
        <v>67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</row>
    <row r="107" spans="1:34" ht="11.25">
      <c r="A107" s="47"/>
      <c r="B107" s="88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</row>
    <row r="108" spans="1:41" ht="11.25">
      <c r="A108" s="47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9"/>
      <c r="W108" s="49"/>
      <c r="X108" s="49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</row>
    <row r="109" spans="1:41" ht="14.25">
      <c r="A109" s="47"/>
      <c r="B109" s="76" t="s">
        <v>54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9"/>
      <c r="W109" s="49"/>
      <c r="X109" s="49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</row>
    <row r="110" spans="1:41" ht="11.25">
      <c r="A110" s="47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9"/>
      <c r="W110" s="49"/>
      <c r="X110" s="49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</row>
    <row r="111" spans="1:41" ht="11.25">
      <c r="A111" s="50"/>
      <c r="B111" s="51"/>
      <c r="C111" s="52">
        <v>1980</v>
      </c>
      <c r="D111" s="52">
        <v>1981</v>
      </c>
      <c r="E111" s="52">
        <v>1982</v>
      </c>
      <c r="F111" s="52">
        <v>1983</v>
      </c>
      <c r="G111" s="52">
        <v>1984</v>
      </c>
      <c r="H111" s="52">
        <v>1985</v>
      </c>
      <c r="I111" s="52">
        <v>1986</v>
      </c>
      <c r="J111" s="52">
        <v>1987</v>
      </c>
      <c r="K111" s="52">
        <v>1988</v>
      </c>
      <c r="L111" s="52">
        <v>1989</v>
      </c>
      <c r="M111" s="52">
        <v>1990</v>
      </c>
      <c r="N111" s="52">
        <v>1991</v>
      </c>
      <c r="O111" s="52">
        <v>1992</v>
      </c>
      <c r="P111" s="52">
        <v>1993</v>
      </c>
      <c r="Q111" s="52">
        <v>1994</v>
      </c>
      <c r="R111" s="52">
        <v>1995</v>
      </c>
      <c r="S111" s="52">
        <v>1996</v>
      </c>
      <c r="T111" s="52">
        <v>1997</v>
      </c>
      <c r="U111" s="52">
        <v>1998</v>
      </c>
      <c r="V111" s="52">
        <v>1999</v>
      </c>
      <c r="W111" s="52">
        <v>2000</v>
      </c>
      <c r="X111" s="52">
        <v>2001</v>
      </c>
      <c r="Y111" s="52">
        <v>2002</v>
      </c>
      <c r="Z111" s="52">
        <v>2003</v>
      </c>
      <c r="AA111" s="52">
        <v>2004</v>
      </c>
      <c r="AB111" s="52">
        <v>2005</v>
      </c>
      <c r="AC111" s="52">
        <v>2006</v>
      </c>
      <c r="AD111" s="52">
        <v>2007</v>
      </c>
      <c r="AE111" s="52">
        <v>2008</v>
      </c>
      <c r="AF111" s="52">
        <v>2009</v>
      </c>
      <c r="AG111" s="52">
        <v>2010</v>
      </c>
      <c r="AH111" s="50"/>
      <c r="AI111" s="50"/>
      <c r="AJ111" s="50"/>
      <c r="AK111" s="50"/>
      <c r="AL111" s="50"/>
      <c r="AM111" s="50"/>
      <c r="AN111" s="50"/>
      <c r="AO111" s="50"/>
    </row>
    <row r="112" spans="1:41" ht="11.25">
      <c r="A112" s="50"/>
      <c r="B112" s="105" t="s">
        <v>71</v>
      </c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50"/>
      <c r="AI112" s="50"/>
      <c r="AJ112" s="50"/>
      <c r="AK112" s="50"/>
      <c r="AL112" s="50"/>
      <c r="AM112" s="50"/>
      <c r="AN112" s="50"/>
      <c r="AO112" s="50"/>
    </row>
    <row r="113" spans="1:41" ht="11.25">
      <c r="A113" s="50"/>
      <c r="B113" s="101" t="s">
        <v>68</v>
      </c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50"/>
      <c r="AI113" s="50"/>
      <c r="AJ113" s="50"/>
      <c r="AK113" s="50"/>
      <c r="AL113" s="50"/>
      <c r="AM113" s="50"/>
      <c r="AN113" s="50"/>
      <c r="AO113" s="50"/>
    </row>
    <row r="114" spans="1:41" ht="11.25">
      <c r="A114" s="50"/>
      <c r="B114" s="18" t="s">
        <v>0</v>
      </c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60">
        <v>460.09</v>
      </c>
      <c r="AH114" s="50"/>
      <c r="AI114" s="50"/>
      <c r="AJ114" s="50"/>
      <c r="AK114" s="50"/>
      <c r="AL114" s="50"/>
      <c r="AM114" s="50"/>
      <c r="AN114" s="50"/>
      <c r="AO114" s="50"/>
    </row>
    <row r="115" spans="1:41" ht="11.25">
      <c r="A115" s="50"/>
      <c r="B115" s="18" t="s">
        <v>1</v>
      </c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57">
        <v>690.14</v>
      </c>
      <c r="AH115" s="50"/>
      <c r="AI115" s="50"/>
      <c r="AJ115" s="50"/>
      <c r="AK115" s="50"/>
      <c r="AL115" s="50"/>
      <c r="AM115" s="50"/>
      <c r="AN115" s="50"/>
      <c r="AO115" s="50"/>
    </row>
    <row r="116" spans="1:41" ht="11.25">
      <c r="A116" s="50"/>
      <c r="B116" s="18" t="s">
        <v>2</v>
      </c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57">
        <v>828.17</v>
      </c>
      <c r="AH116" s="50"/>
      <c r="AI116" s="50"/>
      <c r="AJ116" s="50"/>
      <c r="AK116" s="50"/>
      <c r="AL116" s="50"/>
      <c r="AM116" s="50"/>
      <c r="AN116" s="50"/>
      <c r="AO116" s="50"/>
    </row>
    <row r="117" spans="1:41" ht="11.25">
      <c r="A117" s="50"/>
      <c r="B117" s="21" t="s">
        <v>3</v>
      </c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57">
        <v>690.14</v>
      </c>
      <c r="AH117" s="50"/>
      <c r="AI117" s="50"/>
      <c r="AJ117" s="50"/>
      <c r="AK117" s="50"/>
      <c r="AL117" s="50"/>
      <c r="AM117" s="50"/>
      <c r="AN117" s="50"/>
      <c r="AO117" s="50"/>
    </row>
    <row r="118" spans="1:41" ht="11.25">
      <c r="A118" s="50"/>
      <c r="B118" s="21" t="s">
        <v>4</v>
      </c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57">
        <v>828.17</v>
      </c>
      <c r="AH118" s="50"/>
      <c r="AI118" s="50"/>
      <c r="AJ118" s="50"/>
      <c r="AK118" s="50"/>
      <c r="AL118" s="50"/>
      <c r="AM118" s="50"/>
      <c r="AN118" s="50"/>
      <c r="AO118" s="50"/>
    </row>
    <row r="119" spans="1:41" ht="11.25">
      <c r="A119" s="50"/>
      <c r="B119" s="21" t="s">
        <v>5</v>
      </c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57">
        <v>966.2</v>
      </c>
      <c r="AH119" s="50"/>
      <c r="AI119" s="50"/>
      <c r="AJ119" s="50"/>
      <c r="AK119" s="50"/>
      <c r="AL119" s="50"/>
      <c r="AM119" s="50"/>
      <c r="AN119" s="50"/>
      <c r="AO119" s="50"/>
    </row>
    <row r="120" spans="1:41" ht="11.25">
      <c r="A120" s="50"/>
      <c r="B120" s="102" t="s">
        <v>26</v>
      </c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62">
        <v>184.04</v>
      </c>
      <c r="AH120" s="50"/>
      <c r="AI120" s="50"/>
      <c r="AJ120" s="50"/>
      <c r="AK120" s="50"/>
      <c r="AL120" s="50"/>
      <c r="AM120" s="50"/>
      <c r="AN120" s="50"/>
      <c r="AO120" s="50"/>
    </row>
    <row r="121" spans="1:41" ht="11.25">
      <c r="A121" s="50"/>
      <c r="B121" s="101" t="s">
        <v>69</v>
      </c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50"/>
      <c r="AI121" s="50"/>
      <c r="AJ121" s="50"/>
      <c r="AK121" s="50"/>
      <c r="AL121" s="50"/>
      <c r="AM121" s="50"/>
      <c r="AN121" s="50"/>
      <c r="AO121" s="50"/>
    </row>
    <row r="122" spans="1:41" ht="11.25">
      <c r="A122" s="50"/>
      <c r="B122" s="21" t="s">
        <v>6</v>
      </c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60">
        <v>590.81</v>
      </c>
      <c r="AH122" s="50"/>
      <c r="AI122" s="50"/>
      <c r="AJ122" s="50"/>
      <c r="AK122" s="50"/>
      <c r="AL122" s="50"/>
      <c r="AM122" s="50"/>
      <c r="AN122" s="50"/>
      <c r="AO122" s="50"/>
    </row>
    <row r="123" spans="1:41" ht="11.25">
      <c r="A123" s="50"/>
      <c r="B123" s="21" t="s">
        <v>7</v>
      </c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57">
        <v>787.75</v>
      </c>
      <c r="AH123" s="50"/>
      <c r="AI123" s="50"/>
      <c r="AJ123" s="50"/>
      <c r="AK123" s="50"/>
      <c r="AL123" s="50"/>
      <c r="AM123" s="50"/>
      <c r="AN123" s="50"/>
      <c r="AO123" s="50"/>
    </row>
    <row r="124" spans="1:41" ht="11.25">
      <c r="A124" s="50"/>
      <c r="B124" s="40" t="s">
        <v>8</v>
      </c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62">
        <v>196.94</v>
      </c>
      <c r="AH124" s="50"/>
      <c r="AI124" s="50"/>
      <c r="AJ124" s="50"/>
      <c r="AK124" s="50"/>
      <c r="AL124" s="50"/>
      <c r="AM124" s="50"/>
      <c r="AN124" s="50"/>
      <c r="AO124" s="50"/>
    </row>
    <row r="125" spans="1:41" ht="11.25">
      <c r="A125" s="47"/>
      <c r="B125" s="53" t="s">
        <v>21</v>
      </c>
      <c r="C125" s="54"/>
      <c r="D125" s="54"/>
      <c r="E125" s="54"/>
      <c r="F125" s="54"/>
      <c r="G125" s="54"/>
      <c r="H125" s="54"/>
      <c r="I125" s="54"/>
      <c r="J125" s="54"/>
      <c r="K125" s="54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8"/>
      <c r="AD125" s="58"/>
      <c r="AE125" s="58"/>
      <c r="AF125" s="58"/>
      <c r="AG125" s="58"/>
      <c r="AH125" s="47"/>
      <c r="AI125" s="47"/>
      <c r="AJ125" s="47"/>
      <c r="AK125" s="47"/>
      <c r="AL125" s="47"/>
      <c r="AM125" s="47"/>
      <c r="AN125" s="47"/>
      <c r="AO125" s="47"/>
    </row>
    <row r="126" spans="1:41" ht="11.25">
      <c r="A126" s="47"/>
      <c r="B126" s="59" t="s">
        <v>0</v>
      </c>
      <c r="C126" s="54"/>
      <c r="D126" s="54"/>
      <c r="E126" s="54"/>
      <c r="F126" s="54"/>
      <c r="G126" s="54"/>
      <c r="H126" s="54"/>
      <c r="I126" s="54"/>
      <c r="J126" s="54"/>
      <c r="K126" s="54"/>
      <c r="L126" s="60">
        <v>304.89803447482075</v>
      </c>
      <c r="M126" s="60">
        <v>317.0939558538136</v>
      </c>
      <c r="N126" s="60">
        <v>327.15559099148265</v>
      </c>
      <c r="O126" s="60">
        <v>333.06908837012185</v>
      </c>
      <c r="P126" s="60">
        <v>343.47068481623035</v>
      </c>
      <c r="Q126" s="60">
        <v>350.34003753294803</v>
      </c>
      <c r="R126" s="60">
        <v>354.5445814283558</v>
      </c>
      <c r="S126" s="60">
        <v>361.99019143023094</v>
      </c>
      <c r="T126" s="60">
        <v>366.33346393132473</v>
      </c>
      <c r="U126" s="60">
        <v>370.36269145690954</v>
      </c>
      <c r="V126" s="60">
        <v>381.47317583317204</v>
      </c>
      <c r="W126" s="60">
        <v>389.1032491459044</v>
      </c>
      <c r="X126" s="60">
        <v>397.663261463785</v>
      </c>
      <c r="Y126" s="60">
        <v>405.62</v>
      </c>
      <c r="Z126" s="60">
        <v>411.7</v>
      </c>
      <c r="AA126" s="60">
        <v>417.88</v>
      </c>
      <c r="AB126" s="60">
        <v>425.4</v>
      </c>
      <c r="AC126" s="60">
        <v>433.06</v>
      </c>
      <c r="AD126" s="60">
        <v>440.86</v>
      </c>
      <c r="AE126" s="60">
        <v>447.91</v>
      </c>
      <c r="AF126" s="60">
        <v>454.63</v>
      </c>
      <c r="AG126" s="60">
        <v>460.09</v>
      </c>
      <c r="AH126" s="47"/>
      <c r="AI126" s="47"/>
      <c r="AJ126" s="47"/>
      <c r="AK126" s="47"/>
      <c r="AL126" s="47"/>
      <c r="AM126" s="47"/>
      <c r="AN126" s="47"/>
      <c r="AO126" s="47"/>
    </row>
    <row r="127" spans="1:41" ht="11.25">
      <c r="A127" s="47"/>
      <c r="B127" s="59" t="s">
        <v>1</v>
      </c>
      <c r="C127" s="54"/>
      <c r="D127" s="54"/>
      <c r="E127" s="54"/>
      <c r="F127" s="54"/>
      <c r="G127" s="54"/>
      <c r="H127" s="54"/>
      <c r="I127" s="54"/>
      <c r="J127" s="54"/>
      <c r="K127" s="54"/>
      <c r="L127" s="60">
        <v>457.3470517122311</v>
      </c>
      <c r="M127" s="60">
        <v>475.6409337807204</v>
      </c>
      <c r="N127" s="60">
        <v>490.73338648722404</v>
      </c>
      <c r="O127" s="60">
        <v>499.60363255518274</v>
      </c>
      <c r="P127" s="60">
        <v>515.2060272243456</v>
      </c>
      <c r="Q127" s="60">
        <v>525.5100562994221</v>
      </c>
      <c r="R127" s="60">
        <v>531.8168721425337</v>
      </c>
      <c r="S127" s="60">
        <v>542.9852871453464</v>
      </c>
      <c r="T127" s="60">
        <v>549.5001958969871</v>
      </c>
      <c r="U127" s="60">
        <v>555.5440371853643</v>
      </c>
      <c r="V127" s="60">
        <v>572.2097637497579</v>
      </c>
      <c r="W127" s="60">
        <v>583.6541114737704</v>
      </c>
      <c r="X127" s="60">
        <v>596.4948921956775</v>
      </c>
      <c r="Y127" s="57">
        <v>608.43</v>
      </c>
      <c r="Z127" s="57">
        <v>617.55</v>
      </c>
      <c r="AA127" s="57">
        <v>626.82</v>
      </c>
      <c r="AB127" s="57">
        <v>638.1</v>
      </c>
      <c r="AC127" s="57">
        <v>649.59</v>
      </c>
      <c r="AD127" s="57">
        <v>661.29</v>
      </c>
      <c r="AE127" s="57">
        <v>671.87</v>
      </c>
      <c r="AF127" s="57">
        <v>681.95</v>
      </c>
      <c r="AG127" s="57">
        <v>690.14</v>
      </c>
      <c r="AH127" s="47"/>
      <c r="AI127" s="47"/>
      <c r="AJ127" s="47"/>
      <c r="AK127" s="47"/>
      <c r="AL127" s="47"/>
      <c r="AM127" s="47"/>
      <c r="AN127" s="47"/>
      <c r="AO127" s="47"/>
    </row>
    <row r="128" spans="1:41" ht="11.25">
      <c r="A128" s="47"/>
      <c r="B128" s="59" t="s">
        <v>2</v>
      </c>
      <c r="C128" s="54"/>
      <c r="D128" s="54"/>
      <c r="E128" s="54"/>
      <c r="F128" s="54"/>
      <c r="G128" s="54"/>
      <c r="H128" s="54"/>
      <c r="I128" s="54"/>
      <c r="J128" s="54"/>
      <c r="K128" s="54"/>
      <c r="L128" s="60">
        <v>548.8164620546773</v>
      </c>
      <c r="M128" s="60">
        <v>570.7691205368644</v>
      </c>
      <c r="N128" s="60">
        <v>588.8800637846689</v>
      </c>
      <c r="O128" s="60">
        <v>599.5243590662193</v>
      </c>
      <c r="P128" s="60">
        <v>618.2472326692147</v>
      </c>
      <c r="Q128" s="60">
        <v>630.6120675593065</v>
      </c>
      <c r="R128" s="60">
        <v>638.1802465710405</v>
      </c>
      <c r="S128" s="60">
        <v>651.5823445744157</v>
      </c>
      <c r="T128" s="60">
        <v>659.4002350763845</v>
      </c>
      <c r="U128" s="60">
        <v>666.6528446224372</v>
      </c>
      <c r="V128" s="60">
        <v>686.6517164997097</v>
      </c>
      <c r="W128" s="60">
        <v>700.3858484626278</v>
      </c>
      <c r="X128" s="60">
        <v>715.793870634813</v>
      </c>
      <c r="Y128" s="57">
        <v>730.116</v>
      </c>
      <c r="Z128" s="57">
        <v>741.06</v>
      </c>
      <c r="AA128" s="57">
        <v>752.18</v>
      </c>
      <c r="AB128" s="57">
        <v>765.72</v>
      </c>
      <c r="AC128" s="57">
        <v>779.51</v>
      </c>
      <c r="AD128" s="57">
        <v>793.55</v>
      </c>
      <c r="AE128" s="57">
        <v>806.24</v>
      </c>
      <c r="AF128" s="57">
        <v>818.34</v>
      </c>
      <c r="AG128" s="57">
        <v>828.17</v>
      </c>
      <c r="AH128" s="47"/>
      <c r="AI128" s="47"/>
      <c r="AJ128" s="47"/>
      <c r="AK128" s="47"/>
      <c r="AL128" s="47"/>
      <c r="AM128" s="47"/>
      <c r="AN128" s="47"/>
      <c r="AO128" s="47"/>
    </row>
    <row r="129" spans="1:41" ht="11.25">
      <c r="A129" s="47"/>
      <c r="B129" s="61" t="s">
        <v>3</v>
      </c>
      <c r="C129" s="54"/>
      <c r="D129" s="54"/>
      <c r="E129" s="54"/>
      <c r="F129" s="54"/>
      <c r="G129" s="54"/>
      <c r="H129" s="54"/>
      <c r="I129" s="54"/>
      <c r="J129" s="54"/>
      <c r="K129" s="54"/>
      <c r="L129" s="60">
        <v>457.3470517122311</v>
      </c>
      <c r="M129" s="60">
        <v>475.6409337807204</v>
      </c>
      <c r="N129" s="60">
        <v>490.73338648722404</v>
      </c>
      <c r="O129" s="60">
        <v>499.60363255518274</v>
      </c>
      <c r="P129" s="60">
        <v>515.2060272243456</v>
      </c>
      <c r="Q129" s="60">
        <v>525.5100562994221</v>
      </c>
      <c r="R129" s="60">
        <v>531.8168721425337</v>
      </c>
      <c r="S129" s="60">
        <v>542.9852871453464</v>
      </c>
      <c r="T129" s="60">
        <v>549.5001958969871</v>
      </c>
      <c r="U129" s="60">
        <v>555.5440371853643</v>
      </c>
      <c r="V129" s="60">
        <v>572.2097637497579</v>
      </c>
      <c r="W129" s="60">
        <v>583.6541114737704</v>
      </c>
      <c r="X129" s="60">
        <v>596.4948921956775</v>
      </c>
      <c r="Y129" s="57">
        <v>608.43</v>
      </c>
      <c r="Z129" s="57">
        <v>617.55</v>
      </c>
      <c r="AA129" s="57">
        <v>626.82</v>
      </c>
      <c r="AB129" s="57">
        <v>638.1</v>
      </c>
      <c r="AC129" s="57">
        <v>649.59</v>
      </c>
      <c r="AD129" s="57">
        <v>661.29</v>
      </c>
      <c r="AE129" s="57">
        <v>671.87</v>
      </c>
      <c r="AF129" s="57">
        <v>681.95</v>
      </c>
      <c r="AG129" s="57">
        <v>690.14</v>
      </c>
      <c r="AH129" s="47"/>
      <c r="AI129" s="47"/>
      <c r="AJ129" s="47"/>
      <c r="AK129" s="47"/>
      <c r="AL129" s="47"/>
      <c r="AM129" s="47"/>
      <c r="AN129" s="47"/>
      <c r="AO129" s="47"/>
    </row>
    <row r="130" spans="1:41" ht="11.25">
      <c r="A130" s="47"/>
      <c r="B130" s="61" t="s">
        <v>4</v>
      </c>
      <c r="C130" s="54"/>
      <c r="D130" s="54"/>
      <c r="E130" s="54"/>
      <c r="F130" s="54"/>
      <c r="G130" s="54"/>
      <c r="H130" s="54"/>
      <c r="I130" s="54"/>
      <c r="J130" s="54"/>
      <c r="K130" s="54"/>
      <c r="L130" s="60">
        <v>548.8164620546773</v>
      </c>
      <c r="M130" s="60">
        <v>570.7691205368644</v>
      </c>
      <c r="N130" s="60">
        <v>588.8800637846689</v>
      </c>
      <c r="O130" s="60">
        <v>599.5243590662193</v>
      </c>
      <c r="P130" s="60">
        <v>618.2472326692147</v>
      </c>
      <c r="Q130" s="60">
        <v>630.6120675593065</v>
      </c>
      <c r="R130" s="60">
        <v>638.1802465710405</v>
      </c>
      <c r="S130" s="60">
        <v>651.5823445744157</v>
      </c>
      <c r="T130" s="60">
        <v>659.4002350763845</v>
      </c>
      <c r="U130" s="60">
        <v>666.6528446224372</v>
      </c>
      <c r="V130" s="60">
        <v>686.6517164997097</v>
      </c>
      <c r="W130" s="60">
        <v>700.3858484626278</v>
      </c>
      <c r="X130" s="60">
        <v>715.793870634813</v>
      </c>
      <c r="Y130" s="57">
        <v>730.116</v>
      </c>
      <c r="Z130" s="57">
        <v>741.06</v>
      </c>
      <c r="AA130" s="57">
        <v>752.18</v>
      </c>
      <c r="AB130" s="57">
        <v>765.72</v>
      </c>
      <c r="AC130" s="57">
        <v>779.51</v>
      </c>
      <c r="AD130" s="57">
        <v>793.55</v>
      </c>
      <c r="AE130" s="57">
        <v>806.24</v>
      </c>
      <c r="AF130" s="57">
        <v>818.34</v>
      </c>
      <c r="AG130" s="57">
        <v>828.17</v>
      </c>
      <c r="AH130" s="47"/>
      <c r="AI130" s="47"/>
      <c r="AJ130" s="47"/>
      <c r="AK130" s="47"/>
      <c r="AL130" s="47"/>
      <c r="AM130" s="47"/>
      <c r="AN130" s="47"/>
      <c r="AO130" s="47"/>
    </row>
    <row r="131" spans="1:41" ht="11.25">
      <c r="A131" s="47"/>
      <c r="B131" s="61" t="s">
        <v>5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60">
        <v>640.2858723971236</v>
      </c>
      <c r="M131" s="60">
        <v>665.8973072930086</v>
      </c>
      <c r="N131" s="60">
        <v>687.0267410821136</v>
      </c>
      <c r="O131" s="60">
        <v>699.4450855772559</v>
      </c>
      <c r="P131" s="60">
        <v>721.2884381140838</v>
      </c>
      <c r="Q131" s="60">
        <v>735.7140788191908</v>
      </c>
      <c r="R131" s="60">
        <v>744.5436209995472</v>
      </c>
      <c r="S131" s="60">
        <v>760.1794020034849</v>
      </c>
      <c r="T131" s="60">
        <v>769.3002742557819</v>
      </c>
      <c r="U131" s="60">
        <v>777.7616520595101</v>
      </c>
      <c r="V131" s="60">
        <v>801.0936692496612</v>
      </c>
      <c r="W131" s="60">
        <v>817.1168232063993</v>
      </c>
      <c r="X131" s="60">
        <v>835.0928490739485</v>
      </c>
      <c r="Y131" s="60">
        <v>851.802</v>
      </c>
      <c r="Z131" s="60">
        <v>864.57</v>
      </c>
      <c r="AA131" s="60">
        <v>877.54</v>
      </c>
      <c r="AB131" s="60">
        <v>893.34</v>
      </c>
      <c r="AC131" s="60">
        <v>909.43</v>
      </c>
      <c r="AD131" s="60">
        <v>925.81</v>
      </c>
      <c r="AE131" s="60">
        <v>940.62</v>
      </c>
      <c r="AF131" s="60">
        <v>954.72</v>
      </c>
      <c r="AG131" s="57">
        <v>966.2</v>
      </c>
      <c r="AH131" s="47"/>
      <c r="AI131" s="47"/>
      <c r="AJ131" s="47"/>
      <c r="AK131" s="47"/>
      <c r="AL131" s="47"/>
      <c r="AM131" s="47"/>
      <c r="AN131" s="47"/>
      <c r="AO131" s="47"/>
    </row>
    <row r="132" spans="1:41" ht="11.25">
      <c r="A132" s="47"/>
      <c r="B132" s="110" t="s">
        <v>26</v>
      </c>
      <c r="C132" s="111"/>
      <c r="D132" s="111"/>
      <c r="E132" s="111"/>
      <c r="F132" s="111"/>
      <c r="G132" s="111"/>
      <c r="H132" s="111"/>
      <c r="I132" s="111"/>
      <c r="J132" s="111"/>
      <c r="K132" s="111"/>
      <c r="L132" s="62">
        <v>91.46941034244622</v>
      </c>
      <c r="M132" s="62">
        <v>95.12818675614407</v>
      </c>
      <c r="N132" s="62">
        <v>130.86223639659306</v>
      </c>
      <c r="O132" s="62">
        <v>133.22763534804875</v>
      </c>
      <c r="P132" s="62">
        <v>137.38827392649216</v>
      </c>
      <c r="Q132" s="62">
        <v>140.13601501317922</v>
      </c>
      <c r="R132" s="62">
        <v>141.81783257134234</v>
      </c>
      <c r="S132" s="62">
        <v>144.79607657209237</v>
      </c>
      <c r="T132" s="62">
        <v>146.5333855725299</v>
      </c>
      <c r="U132" s="62">
        <v>148.1450765827638</v>
      </c>
      <c r="V132" s="62">
        <v>152.5892703332688</v>
      </c>
      <c r="W132" s="62">
        <v>156.2510957273114</v>
      </c>
      <c r="X132" s="62">
        <v>159.065304585514</v>
      </c>
      <c r="Y132" s="62">
        <v>162.25</v>
      </c>
      <c r="Z132" s="62">
        <v>164.68</v>
      </c>
      <c r="AA132" s="62">
        <v>167.15</v>
      </c>
      <c r="AB132" s="62">
        <v>170.16</v>
      </c>
      <c r="AC132" s="62">
        <v>173.22</v>
      </c>
      <c r="AD132" s="62">
        <v>176.34</v>
      </c>
      <c r="AE132" s="62">
        <v>179.16</v>
      </c>
      <c r="AF132" s="62">
        <v>181.85</v>
      </c>
      <c r="AG132" s="62">
        <v>184.04</v>
      </c>
      <c r="AH132" s="47"/>
      <c r="AI132" s="47"/>
      <c r="AJ132" s="47"/>
      <c r="AK132" s="47"/>
      <c r="AL132" s="47"/>
      <c r="AM132" s="47"/>
      <c r="AN132" s="47"/>
      <c r="AO132" s="47"/>
    </row>
    <row r="133" spans="1:41" ht="11.25">
      <c r="A133" s="47"/>
      <c r="B133" s="64" t="s">
        <v>22</v>
      </c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47"/>
      <c r="AI133" s="47"/>
      <c r="AJ133" s="47"/>
      <c r="AK133" s="47"/>
      <c r="AL133" s="47"/>
      <c r="AM133" s="47"/>
      <c r="AN133" s="47"/>
      <c r="AO133" s="47"/>
    </row>
    <row r="134" spans="1:41" ht="11.25">
      <c r="A134" s="47"/>
      <c r="B134" s="61" t="s">
        <v>6</v>
      </c>
      <c r="C134" s="60">
        <v>217.01117603745368</v>
      </c>
      <c r="D134" s="60">
        <v>249.99656989711215</v>
      </c>
      <c r="E134" s="60">
        <v>284.92721321672</v>
      </c>
      <c r="F134" s="60">
        <v>325.17375376739636</v>
      </c>
      <c r="G134" s="60">
        <v>346.1568364999535</v>
      </c>
      <c r="H134" s="60">
        <v>366.33498842149714</v>
      </c>
      <c r="I134" s="60">
        <v>380.1849816375159</v>
      </c>
      <c r="J134" s="60">
        <v>384.93681750480596</v>
      </c>
      <c r="K134" s="60">
        <v>399.1267720292641</v>
      </c>
      <c r="L134" s="60">
        <v>409.2859745379651</v>
      </c>
      <c r="M134" s="60">
        <v>422.741124799339</v>
      </c>
      <c r="N134" s="60">
        <v>435.6992912645189</v>
      </c>
      <c r="O134" s="60">
        <v>443.4741911436268</v>
      </c>
      <c r="P134" s="60">
        <v>460.54848107421674</v>
      </c>
      <c r="Q134" s="60">
        <v>469.6954221084614</v>
      </c>
      <c r="R134" s="60">
        <v>475.33603574624556</v>
      </c>
      <c r="S134" s="60">
        <v>475.33603574624556</v>
      </c>
      <c r="T134" s="60">
        <v>482.19624152192904</v>
      </c>
      <c r="U134" s="60">
        <v>487.5319571252384</v>
      </c>
      <c r="V134" s="60">
        <v>490.88583550446145</v>
      </c>
      <c r="W134" s="60">
        <v>493.32501978026</v>
      </c>
      <c r="X134" s="60">
        <v>502.3195117972672</v>
      </c>
      <c r="Y134" s="60">
        <v>512.81</v>
      </c>
      <c r="Z134" s="60">
        <v>521.52</v>
      </c>
      <c r="AA134" s="60">
        <v>530.39</v>
      </c>
      <c r="AB134" s="60">
        <v>542.06</v>
      </c>
      <c r="AC134" s="60">
        <v>551.81</v>
      </c>
      <c r="AD134" s="60">
        <v>561.18</v>
      </c>
      <c r="AE134" s="60">
        <v>566.79</v>
      </c>
      <c r="AF134" s="60">
        <v>583.8</v>
      </c>
      <c r="AG134" s="60">
        <v>590.81</v>
      </c>
      <c r="AH134" s="47"/>
      <c r="AI134" s="47"/>
      <c r="AJ134" s="47"/>
      <c r="AK134" s="47"/>
      <c r="AL134" s="47"/>
      <c r="AM134" s="47"/>
      <c r="AN134" s="47"/>
      <c r="AO134" s="47"/>
    </row>
    <row r="135" spans="1:41" ht="11.25">
      <c r="A135" s="47"/>
      <c r="B135" s="61" t="s">
        <v>7</v>
      </c>
      <c r="C135" s="60">
        <v>289.3482347166049</v>
      </c>
      <c r="D135" s="60">
        <v>333.3297761895978</v>
      </c>
      <c r="E135" s="60">
        <v>379.9029509556267</v>
      </c>
      <c r="F135" s="60">
        <v>433.5650050231951</v>
      </c>
      <c r="G135" s="60">
        <v>461.5424486666047</v>
      </c>
      <c r="H135" s="60">
        <v>488.44665122866286</v>
      </c>
      <c r="I135" s="60">
        <v>506.91330885002117</v>
      </c>
      <c r="J135" s="60">
        <v>513.2490900064079</v>
      </c>
      <c r="K135" s="60">
        <v>532.1690293723522</v>
      </c>
      <c r="L135" s="60">
        <v>545.7146327172868</v>
      </c>
      <c r="M135" s="60">
        <v>563.6040167267062</v>
      </c>
      <c r="N135" s="60">
        <v>580.983204691771</v>
      </c>
      <c r="O135" s="60">
        <v>591.3497378639149</v>
      </c>
      <c r="P135" s="60">
        <v>614.064641432289</v>
      </c>
      <c r="Q135" s="60">
        <v>626.2605628112818</v>
      </c>
      <c r="R135" s="60">
        <v>633.7305646559149</v>
      </c>
      <c r="S135" s="60">
        <v>633.7305646559149</v>
      </c>
      <c r="T135" s="60">
        <v>642.8775056901595</v>
      </c>
      <c r="U135" s="60">
        <v>650.0426095003179</v>
      </c>
      <c r="V135" s="60">
        <v>654.4636310002028</v>
      </c>
      <c r="W135" s="60">
        <v>657.8175093794258</v>
      </c>
      <c r="X135" s="60">
        <v>669.7085327239438</v>
      </c>
      <c r="Y135" s="60">
        <v>683.75</v>
      </c>
      <c r="Z135" s="60">
        <v>695.36</v>
      </c>
      <c r="AA135" s="60">
        <v>707.19</v>
      </c>
      <c r="AB135" s="60">
        <v>722.75</v>
      </c>
      <c r="AC135" s="60">
        <v>735.75</v>
      </c>
      <c r="AD135" s="60">
        <v>748.24</v>
      </c>
      <c r="AE135" s="60">
        <v>755.72</v>
      </c>
      <c r="AF135" s="60">
        <v>778.4</v>
      </c>
      <c r="AG135" s="57">
        <v>787.75</v>
      </c>
      <c r="AH135" s="47"/>
      <c r="AI135" s="47"/>
      <c r="AJ135" s="47"/>
      <c r="AK135" s="47"/>
      <c r="AL135" s="47"/>
      <c r="AM135" s="47"/>
      <c r="AN135" s="47"/>
      <c r="AO135" s="47"/>
    </row>
    <row r="136" spans="1:41" ht="11.25">
      <c r="A136" s="47"/>
      <c r="B136" s="61" t="s">
        <v>8</v>
      </c>
      <c r="C136" s="60">
        <v>72.33705867915123</v>
      </c>
      <c r="D136" s="60">
        <v>83.33218996570406</v>
      </c>
      <c r="E136" s="60">
        <v>94.97573773890667</v>
      </c>
      <c r="F136" s="60">
        <v>108.39125125579878</v>
      </c>
      <c r="G136" s="60">
        <v>115.38561216665117</v>
      </c>
      <c r="H136" s="60">
        <v>122.11166280716571</v>
      </c>
      <c r="I136" s="60">
        <v>126.72832721250529</v>
      </c>
      <c r="J136" s="60">
        <v>128.31227250160197</v>
      </c>
      <c r="K136" s="60">
        <v>133.04225734308804</v>
      </c>
      <c r="L136" s="60">
        <v>136.4286581793217</v>
      </c>
      <c r="M136" s="60">
        <v>140.8628919273672</v>
      </c>
      <c r="N136" s="60">
        <v>145.2839134272521</v>
      </c>
      <c r="O136" s="60">
        <v>147.87554672028807</v>
      </c>
      <c r="P136" s="60">
        <v>153.51616035807226</v>
      </c>
      <c r="Q136" s="60">
        <v>156.56514070282046</v>
      </c>
      <c r="R136" s="60">
        <v>158.3945289096694</v>
      </c>
      <c r="S136" s="60">
        <v>158.3945289096694</v>
      </c>
      <c r="T136" s="60">
        <v>160.68126416823054</v>
      </c>
      <c r="U136" s="60">
        <v>162.51065237507947</v>
      </c>
      <c r="V136" s="60">
        <v>163.57779549574133</v>
      </c>
      <c r="W136" s="60">
        <v>164.4924895991658</v>
      </c>
      <c r="X136" s="60">
        <v>167.3890209266766</v>
      </c>
      <c r="Y136" s="60">
        <v>170.94</v>
      </c>
      <c r="Z136" s="60">
        <v>173.84</v>
      </c>
      <c r="AA136" s="60">
        <v>176.8</v>
      </c>
      <c r="AB136" s="60">
        <v>180.69</v>
      </c>
      <c r="AC136" s="60">
        <v>183.94</v>
      </c>
      <c r="AD136" s="60">
        <v>187.06</v>
      </c>
      <c r="AE136" s="60">
        <v>188.93</v>
      </c>
      <c r="AF136" s="60">
        <v>194.6</v>
      </c>
      <c r="AG136" s="62">
        <v>196.94</v>
      </c>
      <c r="AH136" s="47"/>
      <c r="AI136" s="47"/>
      <c r="AJ136" s="47"/>
      <c r="AK136" s="47"/>
      <c r="AL136" s="47"/>
      <c r="AM136" s="47"/>
      <c r="AN136" s="47"/>
      <c r="AO136" s="47"/>
    </row>
    <row r="137" spans="1:41" ht="11.25">
      <c r="A137" s="47"/>
      <c r="B137" s="63" t="s">
        <v>17</v>
      </c>
      <c r="C137" s="6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47"/>
      <c r="AI137" s="47"/>
      <c r="AJ137" s="47"/>
      <c r="AK137" s="47"/>
      <c r="AL137" s="47"/>
      <c r="AM137" s="47"/>
      <c r="AN137" s="47"/>
      <c r="AO137" s="47"/>
    </row>
    <row r="138" spans="1:41" ht="11.25">
      <c r="A138" s="47"/>
      <c r="B138" s="61" t="s">
        <v>9</v>
      </c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7">
        <v>726.7244651707352</v>
      </c>
      <c r="N138" s="57">
        <v>742.7316119806634</v>
      </c>
      <c r="O138" s="57">
        <v>759.8059019112534</v>
      </c>
      <c r="P138" s="57">
        <v>778.0997839797426</v>
      </c>
      <c r="Q138" s="57">
        <v>778.0997839797426</v>
      </c>
      <c r="R138" s="57">
        <v>789.8383583070232</v>
      </c>
      <c r="S138" s="57">
        <v>789.8383583070232</v>
      </c>
      <c r="T138" s="57">
        <v>789.8383583070232</v>
      </c>
      <c r="U138" s="57">
        <v>853.8669455467356</v>
      </c>
      <c r="V138" s="57">
        <v>879.5393600495154</v>
      </c>
      <c r="W138" s="57">
        <v>897.1472215404362</v>
      </c>
      <c r="X138" s="57">
        <v>916.7826549606148</v>
      </c>
      <c r="Y138" s="57">
        <v>935.2</v>
      </c>
      <c r="Z138" s="57">
        <v>949.2</v>
      </c>
      <c r="AA138" s="57">
        <v>963.2</v>
      </c>
      <c r="AB138" s="57">
        <v>980</v>
      </c>
      <c r="AC138" s="57">
        <v>997.5</v>
      </c>
      <c r="AD138" s="57">
        <v>1015.7</v>
      </c>
      <c r="AE138" s="57">
        <v>1031.8</v>
      </c>
      <c r="AF138" s="57">
        <v>1047.2</v>
      </c>
      <c r="AG138" s="57">
        <v>1059.8</v>
      </c>
      <c r="AH138" s="47"/>
      <c r="AI138" s="47"/>
      <c r="AJ138" s="47"/>
      <c r="AK138" s="47"/>
      <c r="AL138" s="47"/>
      <c r="AM138" s="47"/>
      <c r="AN138" s="47"/>
      <c r="AO138" s="47"/>
    </row>
    <row r="139" spans="1:41" ht="11.25">
      <c r="A139" s="47"/>
      <c r="B139" s="61" t="s">
        <v>10</v>
      </c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7">
        <v>1453.4489303414705</v>
      </c>
      <c r="N139" s="57">
        <v>1485.4632239613268</v>
      </c>
      <c r="O139" s="57">
        <v>1519.6118038225068</v>
      </c>
      <c r="P139" s="57">
        <v>1556.3520169767226</v>
      </c>
      <c r="Q139" s="57">
        <v>1556.3520169767226</v>
      </c>
      <c r="R139" s="57">
        <v>1579.524267596809</v>
      </c>
      <c r="S139" s="57">
        <v>1579.524267596809</v>
      </c>
      <c r="T139" s="57">
        <v>1241.0874493297579</v>
      </c>
      <c r="U139" s="57">
        <v>1341.8562497236862</v>
      </c>
      <c r="V139" s="57">
        <v>1382.13328007781</v>
      </c>
      <c r="W139" s="57">
        <v>1409.8027767064</v>
      </c>
      <c r="X139" s="57">
        <v>1440.658457795252</v>
      </c>
      <c r="Y139" s="57">
        <v>1469.6</v>
      </c>
      <c r="Z139" s="57">
        <v>1491.6</v>
      </c>
      <c r="AA139" s="57">
        <v>1513.6</v>
      </c>
      <c r="AB139" s="57">
        <v>1540</v>
      </c>
      <c r="AC139" s="57">
        <v>1567.5</v>
      </c>
      <c r="AD139" s="57">
        <v>1596.1</v>
      </c>
      <c r="AE139" s="57">
        <v>1621.4</v>
      </c>
      <c r="AF139" s="57">
        <v>1645.6</v>
      </c>
      <c r="AG139" s="57">
        <v>1665.4</v>
      </c>
      <c r="AH139" s="47"/>
      <c r="AI139" s="47"/>
      <c r="AJ139" s="47"/>
      <c r="AK139" s="47"/>
      <c r="AL139" s="47"/>
      <c r="AM139" s="47"/>
      <c r="AN139" s="47"/>
      <c r="AO139" s="47"/>
    </row>
    <row r="140" spans="1:41" ht="11.25">
      <c r="A140" s="47"/>
      <c r="B140" s="63" t="s">
        <v>50</v>
      </c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47"/>
      <c r="AI140" s="47"/>
      <c r="AJ140" s="47"/>
      <c r="AK140" s="47"/>
      <c r="AL140" s="47"/>
      <c r="AM140" s="47"/>
      <c r="AN140" s="47"/>
      <c r="AO140" s="47"/>
    </row>
    <row r="141" spans="1:41" ht="11.25">
      <c r="A141" s="47"/>
      <c r="B141" s="61" t="s">
        <v>9</v>
      </c>
      <c r="C141" s="54"/>
      <c r="D141" s="54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>
        <v>1404.48</v>
      </c>
      <c r="AA141" s="60">
        <v>1425.6</v>
      </c>
      <c r="AB141" s="60">
        <v>1451.04</v>
      </c>
      <c r="AC141" s="60">
        <v>1476.96</v>
      </c>
      <c r="AD141" s="60">
        <v>1503.36</v>
      </c>
      <c r="AE141" s="60">
        <v>1527.36</v>
      </c>
      <c r="AF141" s="60">
        <v>1550.4</v>
      </c>
      <c r="AG141" s="60">
        <v>1569.12</v>
      </c>
      <c r="AH141" s="47"/>
      <c r="AI141" s="47"/>
      <c r="AJ141" s="47"/>
      <c r="AK141" s="47"/>
      <c r="AL141" s="47"/>
      <c r="AM141" s="47"/>
      <c r="AN141" s="47"/>
      <c r="AO141" s="47"/>
    </row>
    <row r="142" spans="1:41" ht="11.25">
      <c r="A142" s="47"/>
      <c r="B142" s="61" t="s">
        <v>10</v>
      </c>
      <c r="C142" s="54"/>
      <c r="D142" s="54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>
        <v>2018.94</v>
      </c>
      <c r="AA142" s="60">
        <v>2049.3</v>
      </c>
      <c r="AB142" s="60">
        <v>2085.87</v>
      </c>
      <c r="AC142" s="60">
        <v>2123.13</v>
      </c>
      <c r="AD142" s="60">
        <v>2161.08</v>
      </c>
      <c r="AE142" s="60">
        <v>2195.58</v>
      </c>
      <c r="AF142" s="60">
        <v>2228.7</v>
      </c>
      <c r="AG142" s="60">
        <v>2255.61</v>
      </c>
      <c r="AH142" s="47"/>
      <c r="AI142" s="47"/>
      <c r="AJ142" s="47"/>
      <c r="AK142" s="47"/>
      <c r="AL142" s="47"/>
      <c r="AM142" s="47"/>
      <c r="AN142" s="47"/>
      <c r="AO142" s="47"/>
    </row>
    <row r="143" spans="1:41" ht="11.25">
      <c r="A143" s="47"/>
      <c r="B143" s="66" t="s">
        <v>51</v>
      </c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47"/>
      <c r="AI143" s="47"/>
      <c r="AJ143" s="47"/>
      <c r="AK143" s="47"/>
      <c r="AL143" s="47"/>
      <c r="AM143" s="47"/>
      <c r="AN143" s="47"/>
      <c r="AO143" s="47"/>
    </row>
    <row r="144" spans="1:41" ht="11.25">
      <c r="A144" s="47"/>
      <c r="B144" s="67" t="s">
        <v>33</v>
      </c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47"/>
      <c r="AI144" s="47"/>
      <c r="AJ144" s="47"/>
      <c r="AK144" s="47"/>
      <c r="AL144" s="47"/>
      <c r="AM144" s="47"/>
      <c r="AN144" s="47"/>
      <c r="AO144" s="47"/>
    </row>
    <row r="145" spans="1:41" ht="11.25">
      <c r="A145" s="47"/>
      <c r="B145" s="68" t="s">
        <v>27</v>
      </c>
      <c r="C145" s="57"/>
      <c r="D145" s="57"/>
      <c r="E145" s="57"/>
      <c r="F145" s="57"/>
      <c r="G145" s="57"/>
      <c r="H145" s="57"/>
      <c r="I145" s="57">
        <v>599.581984794735</v>
      </c>
      <c r="J145" s="57">
        <v>599.581984794735</v>
      </c>
      <c r="K145" s="57">
        <v>599.581984794735</v>
      </c>
      <c r="L145" s="57">
        <v>599.581984794735</v>
      </c>
      <c r="M145" s="57">
        <v>599.581984794735</v>
      </c>
      <c r="N145" s="57">
        <v>599.581984794735</v>
      </c>
      <c r="O145" s="57">
        <v>599.581984794735</v>
      </c>
      <c r="P145" s="57">
        <v>599.581984794735</v>
      </c>
      <c r="Q145" s="57">
        <v>599.581984794735</v>
      </c>
      <c r="R145" s="57">
        <v>599.581984794735</v>
      </c>
      <c r="S145" s="57">
        <v>599.581984794735</v>
      </c>
      <c r="T145" s="57">
        <v>599.581984794735</v>
      </c>
      <c r="U145" s="57">
        <v>773.3738644453829</v>
      </c>
      <c r="V145" s="57">
        <v>796.6070946723642</v>
      </c>
      <c r="W145" s="57">
        <f>59.22/6.55957*90</f>
        <v>812.5227720719498</v>
      </c>
      <c r="X145" s="57">
        <f>60.52/6.55957*90</f>
        <v>830.3593070887268</v>
      </c>
      <c r="Y145" s="57">
        <f>9.41*90</f>
        <v>846.9</v>
      </c>
      <c r="Z145" s="57">
        <f>9.55*90</f>
        <v>859.5000000000001</v>
      </c>
      <c r="AA145" s="57">
        <f>9.69*90</f>
        <v>872.0999999999999</v>
      </c>
      <c r="AB145" s="57">
        <f>9.86*90</f>
        <v>887.4</v>
      </c>
      <c r="AC145" s="57">
        <f>10.04*90</f>
        <v>903.5999999999999</v>
      </c>
      <c r="AD145" s="191" t="s">
        <v>34</v>
      </c>
      <c r="AE145" s="191" t="s">
        <v>34</v>
      </c>
      <c r="AF145" s="191" t="s">
        <v>34</v>
      </c>
      <c r="AG145" s="188" t="s">
        <v>37</v>
      </c>
      <c r="AH145" s="47"/>
      <c r="AI145" s="47"/>
      <c r="AJ145" s="47"/>
      <c r="AK145" s="47"/>
      <c r="AL145" s="47"/>
      <c r="AM145" s="47"/>
      <c r="AN145" s="47"/>
      <c r="AO145" s="47"/>
    </row>
    <row r="146" spans="1:41" ht="11.25">
      <c r="A146" s="47"/>
      <c r="B146" s="69" t="s">
        <v>28</v>
      </c>
      <c r="C146" s="57"/>
      <c r="D146" s="57"/>
      <c r="E146" s="57"/>
      <c r="F146" s="57"/>
      <c r="G146" s="57"/>
      <c r="H146" s="57"/>
      <c r="I146" s="57">
        <f aca="true" t="shared" si="1" ref="I146:V146">I145*2</f>
        <v>1199.16396958947</v>
      </c>
      <c r="J146" s="57">
        <f t="shared" si="1"/>
        <v>1199.16396958947</v>
      </c>
      <c r="K146" s="57">
        <f t="shared" si="1"/>
        <v>1199.16396958947</v>
      </c>
      <c r="L146" s="57">
        <f t="shared" si="1"/>
        <v>1199.16396958947</v>
      </c>
      <c r="M146" s="57">
        <f t="shared" si="1"/>
        <v>1199.16396958947</v>
      </c>
      <c r="N146" s="57">
        <f t="shared" si="1"/>
        <v>1199.16396958947</v>
      </c>
      <c r="O146" s="57">
        <f t="shared" si="1"/>
        <v>1199.16396958947</v>
      </c>
      <c r="P146" s="57">
        <f t="shared" si="1"/>
        <v>1199.16396958947</v>
      </c>
      <c r="Q146" s="57">
        <f t="shared" si="1"/>
        <v>1199.16396958947</v>
      </c>
      <c r="R146" s="57">
        <f t="shared" si="1"/>
        <v>1199.16396958947</v>
      </c>
      <c r="S146" s="57">
        <f t="shared" si="1"/>
        <v>1199.16396958947</v>
      </c>
      <c r="T146" s="57">
        <f t="shared" si="1"/>
        <v>1199.16396958947</v>
      </c>
      <c r="U146" s="57">
        <f t="shared" si="1"/>
        <v>1546.7477288907658</v>
      </c>
      <c r="V146" s="57">
        <f t="shared" si="1"/>
        <v>1593.2141893447283</v>
      </c>
      <c r="W146" s="57">
        <f>59.22/6.55957*180</f>
        <v>1625.0455441438996</v>
      </c>
      <c r="X146" s="57">
        <f>60.52/6.55957*180</f>
        <v>1660.7186141774537</v>
      </c>
      <c r="Y146" s="57">
        <f>9.41*180</f>
        <v>1693.8</v>
      </c>
      <c r="Z146" s="57">
        <f>9.55*180</f>
        <v>1719.0000000000002</v>
      </c>
      <c r="AA146" s="57">
        <f>9.69*180</f>
        <v>1744.1999999999998</v>
      </c>
      <c r="AB146" s="57">
        <f>9.86*180</f>
        <v>1774.8</v>
      </c>
      <c r="AC146" s="57">
        <f>10.04*180</f>
        <v>1807.1999999999998</v>
      </c>
      <c r="AD146" s="192"/>
      <c r="AE146" s="192"/>
      <c r="AF146" s="192"/>
      <c r="AG146" s="189"/>
      <c r="AH146" s="47"/>
      <c r="AI146" s="47"/>
      <c r="AJ146" s="47"/>
      <c r="AK146" s="47"/>
      <c r="AL146" s="47"/>
      <c r="AM146" s="47"/>
      <c r="AN146" s="47"/>
      <c r="AO146" s="47"/>
    </row>
    <row r="147" spans="1:41" ht="11.25">
      <c r="A147" s="47"/>
      <c r="B147" s="63" t="s">
        <v>19</v>
      </c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47"/>
      <c r="AI147" s="47"/>
      <c r="AJ147" s="47"/>
      <c r="AK147" s="47"/>
      <c r="AL147" s="47"/>
      <c r="AM147" s="47"/>
      <c r="AN147" s="47"/>
      <c r="AO147" s="47"/>
    </row>
    <row r="148" spans="1:41" ht="11.25">
      <c r="A148" s="47"/>
      <c r="B148" s="59" t="s">
        <v>11</v>
      </c>
      <c r="C148" s="57"/>
      <c r="D148" s="57">
        <v>186.75004611582773</v>
      </c>
      <c r="E148" s="57">
        <v>209.61739870143927</v>
      </c>
      <c r="F148" s="57">
        <v>270.59700559640345</v>
      </c>
      <c r="G148" s="57">
        <v>335.3878379223028</v>
      </c>
      <c r="H148" s="57">
        <v>361.6090688871374</v>
      </c>
      <c r="I148" s="57">
        <v>375.48192945574175</v>
      </c>
      <c r="J148" s="57">
        <v>398.50173105859074</v>
      </c>
      <c r="K148" s="57">
        <v>403.6849976446627</v>
      </c>
      <c r="L148" s="57">
        <v>416.6431641098426</v>
      </c>
      <c r="M148" s="57">
        <v>432.6503109197707</v>
      </c>
      <c r="N148" s="57">
        <v>443.3217421263894</v>
      </c>
      <c r="O148" s="57">
        <v>457.9568477811808</v>
      </c>
      <c r="P148" s="57">
        <v>469.542973091224</v>
      </c>
      <c r="Q148" s="57">
        <v>482.50113955640387</v>
      </c>
      <c r="R148" s="57">
        <v>488.9039982803751</v>
      </c>
      <c r="S148" s="57">
        <v>498.6607353835694</v>
      </c>
      <c r="T148" s="57">
        <v>518.7840056589075</v>
      </c>
      <c r="U148" s="57">
        <v>529.6078858827636</v>
      </c>
      <c r="V148" s="57">
        <v>536.0234486915047</v>
      </c>
      <c r="W148" s="57">
        <v>541.9308481094544</v>
      </c>
      <c r="X148" s="57">
        <v>552.78013650285</v>
      </c>
      <c r="Y148" s="60">
        <f>6699.68/12</f>
        <v>558.3066666666667</v>
      </c>
      <c r="Z148" s="60">
        <f>6847.1/12</f>
        <v>570.5916666666667</v>
      </c>
      <c r="AA148" s="60">
        <f>6997.74/12</f>
        <v>583.145</v>
      </c>
      <c r="AB148" s="60">
        <f>7102.71/12</f>
        <v>591.8925</v>
      </c>
      <c r="AC148" s="60">
        <f>7323.36/12</f>
        <v>610.28</v>
      </c>
      <c r="AD148" s="60">
        <f>7455.24/12</f>
        <v>621.27</v>
      </c>
      <c r="AE148" s="60">
        <f>7537.2/12</f>
        <v>628.1</v>
      </c>
      <c r="AF148" s="60">
        <f>7831.2/12</f>
        <v>652.6</v>
      </c>
      <c r="AG148" s="60">
        <f>8179.56/12</f>
        <v>681.63</v>
      </c>
      <c r="AH148" s="47"/>
      <c r="AI148" s="47"/>
      <c r="AJ148" s="47"/>
      <c r="AK148" s="47"/>
      <c r="AL148" s="47"/>
      <c r="AM148" s="47"/>
      <c r="AN148" s="47"/>
      <c r="AO148" s="47"/>
    </row>
    <row r="149" spans="1:41" ht="11.25">
      <c r="A149" s="47"/>
      <c r="B149" s="59" t="s">
        <v>52</v>
      </c>
      <c r="C149" s="57"/>
      <c r="D149" s="57">
        <f aca="true" t="shared" si="2" ref="D149:V149">D148*2</f>
        <v>373.50009223165546</v>
      </c>
      <c r="E149" s="57">
        <f t="shared" si="2"/>
        <v>419.23479740287854</v>
      </c>
      <c r="F149" s="57">
        <f t="shared" si="2"/>
        <v>541.1940111928069</v>
      </c>
      <c r="G149" s="57">
        <f t="shared" si="2"/>
        <v>670.7756758446056</v>
      </c>
      <c r="H149" s="57">
        <f t="shared" si="2"/>
        <v>723.2181377742749</v>
      </c>
      <c r="I149" s="57">
        <f t="shared" si="2"/>
        <v>750.9638589114835</v>
      </c>
      <c r="J149" s="57">
        <f t="shared" si="2"/>
        <v>797.0034621171815</v>
      </c>
      <c r="K149" s="57">
        <f t="shared" si="2"/>
        <v>807.3699952893254</v>
      </c>
      <c r="L149" s="57">
        <f t="shared" si="2"/>
        <v>833.2863282196852</v>
      </c>
      <c r="M149" s="57">
        <f t="shared" si="2"/>
        <v>865.3006218395413</v>
      </c>
      <c r="N149" s="57">
        <f t="shared" si="2"/>
        <v>886.6434842527788</v>
      </c>
      <c r="O149" s="57">
        <f t="shared" si="2"/>
        <v>915.9136955623616</v>
      </c>
      <c r="P149" s="57">
        <f t="shared" si="2"/>
        <v>939.085946182448</v>
      </c>
      <c r="Q149" s="57">
        <f t="shared" si="2"/>
        <v>965.0022791128077</v>
      </c>
      <c r="R149" s="57">
        <f t="shared" si="2"/>
        <v>977.8079965607502</v>
      </c>
      <c r="S149" s="57">
        <f t="shared" si="2"/>
        <v>997.3214707671387</v>
      </c>
      <c r="T149" s="57">
        <f t="shared" si="2"/>
        <v>1037.568011317815</v>
      </c>
      <c r="U149" s="57">
        <f t="shared" si="2"/>
        <v>1059.2157717655273</v>
      </c>
      <c r="V149" s="57">
        <f t="shared" si="2"/>
        <v>1072.0468973830093</v>
      </c>
      <c r="W149" s="60">
        <f>85316/12/6.55957</f>
        <v>1083.8616962189087</v>
      </c>
      <c r="X149" s="60">
        <f>87024/12/6.55957</f>
        <v>1105.5602730057</v>
      </c>
      <c r="Y149" s="60">
        <f>13399.36/12</f>
        <v>1116.6133333333335</v>
      </c>
      <c r="Z149" s="60">
        <f>13694.2/12</f>
        <v>1141.1833333333334</v>
      </c>
      <c r="AA149" s="60">
        <f>13995.48/12</f>
        <v>1166.29</v>
      </c>
      <c r="AB149" s="60">
        <f>14205.42/12</f>
        <v>1183.785</v>
      </c>
      <c r="AC149" s="60">
        <f>14646.72/12</f>
        <v>1220.56</v>
      </c>
      <c r="AD149" s="60">
        <f>14910.48/12</f>
        <v>1242.54</v>
      </c>
      <c r="AE149" s="60">
        <f>15074.4/12</f>
        <v>1256.2</v>
      </c>
      <c r="AF149" s="60">
        <f>15662.4/12</f>
        <v>1305.2</v>
      </c>
      <c r="AG149" s="60">
        <f>16359.12/12</f>
        <v>1363.26</v>
      </c>
      <c r="AH149" s="47"/>
      <c r="AI149" s="47"/>
      <c r="AJ149" s="47"/>
      <c r="AK149" s="47"/>
      <c r="AL149" s="47"/>
      <c r="AM149" s="47"/>
      <c r="AN149" s="47"/>
      <c r="AO149" s="47"/>
    </row>
    <row r="150" spans="1:41" ht="11.25">
      <c r="A150" s="70"/>
      <c r="B150" s="71" t="s">
        <v>53</v>
      </c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56"/>
      <c r="X150" s="56"/>
      <c r="Y150" s="55"/>
      <c r="Z150" s="55"/>
      <c r="AA150" s="55"/>
      <c r="AB150" s="55"/>
      <c r="AC150" s="55"/>
      <c r="AD150" s="55"/>
      <c r="AE150" s="55"/>
      <c r="AF150" s="55"/>
      <c r="AG150" s="55"/>
      <c r="AH150" s="70"/>
      <c r="AI150" s="70"/>
      <c r="AJ150" s="70"/>
      <c r="AK150" s="70"/>
      <c r="AL150" s="70"/>
      <c r="AM150" s="70"/>
      <c r="AN150" s="70"/>
      <c r="AO150" s="70"/>
    </row>
    <row r="151" spans="1:41" ht="11.25">
      <c r="A151" s="47"/>
      <c r="B151" s="53" t="s">
        <v>25</v>
      </c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47"/>
      <c r="AI151" s="47"/>
      <c r="AJ151" s="47"/>
      <c r="AK151" s="47"/>
      <c r="AL151" s="47"/>
      <c r="AM151" s="47"/>
      <c r="AN151" s="47"/>
      <c r="AO151" s="47"/>
    </row>
    <row r="152" spans="1:41" ht="11.25">
      <c r="A152" s="47"/>
      <c r="B152" s="72" t="s">
        <v>11</v>
      </c>
      <c r="C152" s="60">
        <v>190.56127154676298</v>
      </c>
      <c r="D152" s="60">
        <v>227.30148470097888</v>
      </c>
      <c r="E152" s="60">
        <v>316.33171076762653</v>
      </c>
      <c r="F152" s="60">
        <v>348.0411063530079</v>
      </c>
      <c r="G152" s="60">
        <v>367.85947859387124</v>
      </c>
      <c r="H152" s="60">
        <v>387.98274886920944</v>
      </c>
      <c r="I152" s="60">
        <v>403.6849976446627</v>
      </c>
      <c r="J152" s="60">
        <v>412.8319386789073</v>
      </c>
      <c r="K152" s="60">
        <v>427.3145953164613</v>
      </c>
      <c r="L152" s="60">
        <v>437.98602652308</v>
      </c>
      <c r="M152" s="60">
        <v>452.468683160634</v>
      </c>
      <c r="N152" s="60">
        <v>465.8841966775261</v>
      </c>
      <c r="O152" s="60">
        <v>474.1164436083463</v>
      </c>
      <c r="P152" s="60">
        <v>488.9039982803751</v>
      </c>
      <c r="Q152" s="60">
        <v>498.6607353835694</v>
      </c>
      <c r="R152" s="60">
        <v>504.60624705582836</v>
      </c>
      <c r="S152" s="60">
        <v>529.6587022218429</v>
      </c>
      <c r="T152" s="60">
        <v>536.0234486915047</v>
      </c>
      <c r="U152" s="60">
        <v>541.9308481094544</v>
      </c>
      <c r="V152" s="60">
        <v>552.78013650285</v>
      </c>
      <c r="W152" s="60">
        <v>558.3064133777061</v>
      </c>
      <c r="X152" s="60">
        <v>570.5912633500875</v>
      </c>
      <c r="Y152" s="60">
        <f>6997.74/12</f>
        <v>583.145</v>
      </c>
      <c r="Z152" s="60">
        <f>7102.71/12</f>
        <v>591.8925</v>
      </c>
      <c r="AA152" s="60">
        <f>7223.45/12</f>
        <v>601.9541666666667</v>
      </c>
      <c r="AB152" s="60">
        <f>7367.91/12</f>
        <v>613.9925</v>
      </c>
      <c r="AC152" s="60">
        <f>7500.53/12</f>
        <v>625.0441666666667</v>
      </c>
      <c r="AD152" s="60">
        <f>7635.53/12</f>
        <v>636.2941666666667</v>
      </c>
      <c r="AE152" s="60">
        <f>7719.52/12</f>
        <v>643.2933333333334</v>
      </c>
      <c r="AF152" s="60">
        <f>7781.27/12</f>
        <v>648.4391666666667</v>
      </c>
      <c r="AG152" s="60">
        <f>8309.27/12</f>
        <v>692.4391666666667</v>
      </c>
      <c r="AH152" s="47"/>
      <c r="AI152" s="47"/>
      <c r="AJ152" s="47"/>
      <c r="AK152" s="47"/>
      <c r="AL152" s="47"/>
      <c r="AM152" s="47"/>
      <c r="AN152" s="47"/>
      <c r="AO152" s="47"/>
    </row>
    <row r="153" spans="1:41" ht="11.25">
      <c r="A153" s="47"/>
      <c r="B153" s="73" t="s">
        <v>10</v>
      </c>
      <c r="C153" s="62">
        <v>370.9592752776986</v>
      </c>
      <c r="D153" s="62">
        <v>431.9388821726628</v>
      </c>
      <c r="E153" s="62">
        <v>564.0613637784185</v>
      </c>
      <c r="F153" s="62">
        <v>622.5001537194257</v>
      </c>
      <c r="G153" s="62">
        <v>652.7358754715121</v>
      </c>
      <c r="H153" s="62">
        <v>684.3690465482748</v>
      </c>
      <c r="I153" s="62">
        <v>710.6665020217281</v>
      </c>
      <c r="J153" s="62">
        <v>719.9404839036705</v>
      </c>
      <c r="K153" s="62">
        <v>746.110898529426</v>
      </c>
      <c r="L153" s="62">
        <v>765.5481482271958</v>
      </c>
      <c r="M153" s="62">
        <v>791.4644811575556</v>
      </c>
      <c r="N153" s="62">
        <v>815.3481605247498</v>
      </c>
      <c r="O153" s="62">
        <v>830.0848988576995</v>
      </c>
      <c r="P153" s="62">
        <v>856.255313483455</v>
      </c>
      <c r="Q153" s="62">
        <v>873.4058279226637</v>
      </c>
      <c r="R153" s="62">
        <v>883.8994019425054</v>
      </c>
      <c r="S153" s="62">
        <v>927.7539025678005</v>
      </c>
      <c r="T153" s="62">
        <v>938.9080889956709</v>
      </c>
      <c r="U153" s="62">
        <v>949.2492139982753</v>
      </c>
      <c r="V153" s="62">
        <v>968.2418207291026</v>
      </c>
      <c r="W153" s="62">
        <v>977.9223333236782</v>
      </c>
      <c r="X153" s="62">
        <v>999.4303488389229</v>
      </c>
      <c r="Y153" s="62">
        <f>12257.01/12</f>
        <v>1021.4175</v>
      </c>
      <c r="Z153" s="62">
        <f>12440.87/12</f>
        <v>1036.7391666666667</v>
      </c>
      <c r="AA153" s="62">
        <f>12652.36/12</f>
        <v>1054.3633333333335</v>
      </c>
      <c r="AB153" s="62">
        <f>12905.4/12</f>
        <v>1075.45</v>
      </c>
      <c r="AC153" s="62">
        <f>13137.69/12</f>
        <v>1094.8075000000001</v>
      </c>
      <c r="AD153" s="62">
        <f>13374.16/12</f>
        <v>1114.5133333333333</v>
      </c>
      <c r="AE153" s="62">
        <f>13521.27/12</f>
        <v>1126.7725</v>
      </c>
      <c r="AF153" s="62">
        <f>13629.44/12</f>
        <v>1135.7866666666666</v>
      </c>
      <c r="AG153" s="62">
        <f>13765.73/12</f>
        <v>1147.1441666666667</v>
      </c>
      <c r="AH153" s="47"/>
      <c r="AI153" s="47"/>
      <c r="AJ153" s="47"/>
      <c r="AK153" s="47"/>
      <c r="AL153" s="47"/>
      <c r="AM153" s="47"/>
      <c r="AN153" s="47"/>
      <c r="AO153" s="47"/>
    </row>
    <row r="154" spans="1:41" ht="11.25">
      <c r="A154" s="47"/>
      <c r="B154" s="53" t="s">
        <v>32</v>
      </c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47"/>
      <c r="AI154" s="47"/>
      <c r="AJ154" s="47"/>
      <c r="AK154" s="47"/>
      <c r="AL154" s="47"/>
      <c r="AM154" s="47"/>
      <c r="AN154" s="47"/>
      <c r="AO154" s="47"/>
    </row>
    <row r="155" spans="1:41" ht="11.25">
      <c r="A155" s="47"/>
      <c r="B155" s="72" t="s">
        <v>11</v>
      </c>
      <c r="C155" s="60">
        <v>190.56127154676298</v>
      </c>
      <c r="D155" s="60">
        <v>227.30148470097888</v>
      </c>
      <c r="E155" s="60">
        <v>316.33171076762653</v>
      </c>
      <c r="F155" s="60">
        <v>348.0411063530079</v>
      </c>
      <c r="G155" s="60">
        <v>367.85947859387124</v>
      </c>
      <c r="H155" s="60">
        <v>387.98274886920944</v>
      </c>
      <c r="I155" s="60">
        <v>403.6849976446627</v>
      </c>
      <c r="J155" s="60">
        <v>412.8319386789073</v>
      </c>
      <c r="K155" s="60">
        <v>427.3145953164613</v>
      </c>
      <c r="L155" s="60">
        <v>437.98602652308</v>
      </c>
      <c r="M155" s="60">
        <v>452.468683160634</v>
      </c>
      <c r="N155" s="60">
        <v>465.8841966775261</v>
      </c>
      <c r="O155" s="60">
        <v>474.1164436083463</v>
      </c>
      <c r="P155" s="60">
        <v>488.9039982803751</v>
      </c>
      <c r="Q155" s="60">
        <v>498.6607353835694</v>
      </c>
      <c r="R155" s="60">
        <v>504.60624705582836</v>
      </c>
      <c r="S155" s="60">
        <v>529.6587022218429</v>
      </c>
      <c r="T155" s="60">
        <v>536.0234486915047</v>
      </c>
      <c r="U155" s="60">
        <v>541.9308481094544</v>
      </c>
      <c r="V155" s="60">
        <v>552.78013650285</v>
      </c>
      <c r="W155" s="60">
        <v>558.3064133777061</v>
      </c>
      <c r="X155" s="60">
        <v>570.5912633500875</v>
      </c>
      <c r="Y155" s="60">
        <v>583.145</v>
      </c>
      <c r="Z155" s="60">
        <v>591.8925</v>
      </c>
      <c r="AA155" s="60">
        <v>601.9541666666667</v>
      </c>
      <c r="AB155" s="60">
        <v>613.9925</v>
      </c>
      <c r="AC155" s="60">
        <v>625.0441666666667</v>
      </c>
      <c r="AD155" s="60">
        <v>636.2941666666667</v>
      </c>
      <c r="AE155" s="60">
        <v>643.2933333333334</v>
      </c>
      <c r="AF155" s="60">
        <v>648.4391666666667</v>
      </c>
      <c r="AG155" s="60">
        <f>7859.08/12</f>
        <v>654.9233333333333</v>
      </c>
      <c r="AH155" s="47"/>
      <c r="AI155" s="47"/>
      <c r="AJ155" s="47"/>
      <c r="AK155" s="47"/>
      <c r="AL155" s="47"/>
      <c r="AM155" s="47"/>
      <c r="AN155" s="47"/>
      <c r="AO155" s="47"/>
    </row>
    <row r="156" spans="1:41" ht="11.25">
      <c r="A156" s="47"/>
      <c r="B156" s="72" t="s">
        <v>43</v>
      </c>
      <c r="C156" s="60">
        <v>370.9592752776986</v>
      </c>
      <c r="D156" s="60">
        <v>431.9388821726628</v>
      </c>
      <c r="E156" s="60">
        <v>564.0613637784185</v>
      </c>
      <c r="F156" s="60">
        <v>622.5001537194257</v>
      </c>
      <c r="G156" s="60">
        <v>652.7358754715121</v>
      </c>
      <c r="H156" s="60">
        <v>684.3690465482748</v>
      </c>
      <c r="I156" s="60">
        <v>710.6665020217281</v>
      </c>
      <c r="J156" s="60">
        <v>719.9404839036705</v>
      </c>
      <c r="K156" s="60">
        <v>746.110898529426</v>
      </c>
      <c r="L156" s="60">
        <v>765.5481482271958</v>
      </c>
      <c r="M156" s="60">
        <v>791.4644811575556</v>
      </c>
      <c r="N156" s="60">
        <v>815.3481605247498</v>
      </c>
      <c r="O156" s="60">
        <v>830.0848988576995</v>
      </c>
      <c r="P156" s="60">
        <v>856.255313483455</v>
      </c>
      <c r="Q156" s="60">
        <v>873.4058279226637</v>
      </c>
      <c r="R156" s="60">
        <v>883.8994019425054</v>
      </c>
      <c r="S156" s="60">
        <v>927.7539025678005</v>
      </c>
      <c r="T156" s="60">
        <v>938.9080889956709</v>
      </c>
      <c r="U156" s="60">
        <v>949.2492139982753</v>
      </c>
      <c r="V156" s="60">
        <v>968.2418207291026</v>
      </c>
      <c r="W156" s="60">
        <v>977.9223333236782</v>
      </c>
      <c r="X156" s="60">
        <v>999.4303488389229</v>
      </c>
      <c r="Y156" s="60">
        <v>1021.4175</v>
      </c>
      <c r="Z156" s="60">
        <v>1036.7391666666667</v>
      </c>
      <c r="AA156" s="60">
        <v>1054.3633333333335</v>
      </c>
      <c r="AB156" s="60">
        <v>1075.45</v>
      </c>
      <c r="AC156" s="60">
        <v>1094.8075</v>
      </c>
      <c r="AD156" s="60">
        <v>1114.5133333333333</v>
      </c>
      <c r="AE156" s="60">
        <v>1126.7725</v>
      </c>
      <c r="AF156" s="60">
        <v>1135.7866666666666</v>
      </c>
      <c r="AG156" s="60">
        <f>13765.73/12</f>
        <v>1147.1441666666667</v>
      </c>
      <c r="AH156" s="47"/>
      <c r="AI156" s="47"/>
      <c r="AJ156" s="47"/>
      <c r="AK156" s="47"/>
      <c r="AL156" s="47"/>
      <c r="AM156" s="47"/>
      <c r="AN156" s="47"/>
      <c r="AO156" s="47"/>
    </row>
    <row r="157" spans="1:41" ht="11.25">
      <c r="A157" s="47"/>
      <c r="B157" s="63" t="s">
        <v>18</v>
      </c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47"/>
      <c r="AI157" s="47"/>
      <c r="AJ157" s="47"/>
      <c r="AK157" s="47"/>
      <c r="AL157" s="47"/>
      <c r="AM157" s="47"/>
      <c r="AN157" s="47"/>
      <c r="AO157" s="47"/>
    </row>
    <row r="158" spans="1:41" ht="11.25">
      <c r="A158" s="47"/>
      <c r="B158" s="74"/>
      <c r="C158" s="75"/>
      <c r="D158" s="75"/>
      <c r="E158" s="75"/>
      <c r="F158" s="75"/>
      <c r="G158" s="75"/>
      <c r="H158" s="75"/>
      <c r="I158" s="75"/>
      <c r="J158" s="75"/>
      <c r="K158" s="75"/>
      <c r="L158" s="75">
        <v>488.9802227889938</v>
      </c>
      <c r="M158" s="75">
        <v>505.5590534135622</v>
      </c>
      <c r="N158" s="75">
        <v>520.8039551373032</v>
      </c>
      <c r="O158" s="75">
        <v>530.3320187146413</v>
      </c>
      <c r="P158" s="75">
        <v>546.9108493392098</v>
      </c>
      <c r="Q158" s="75">
        <v>557.7728418173753</v>
      </c>
      <c r="R158" s="75">
        <v>564.442486321512</v>
      </c>
      <c r="S158" s="75">
        <v>578.7345816875192</v>
      </c>
      <c r="T158" s="75">
        <v>585.5947874632026</v>
      </c>
      <c r="U158" s="75">
        <v>592.0738706957926</v>
      </c>
      <c r="V158" s="75">
        <v>599.1246377430228</v>
      </c>
      <c r="W158" s="75">
        <v>602.173618087771</v>
      </c>
      <c r="X158" s="75">
        <v>615.5129070960444</v>
      </c>
      <c r="Y158" s="62">
        <f>1887.15/3</f>
        <v>629.0500000000001</v>
      </c>
      <c r="Z158" s="62">
        <f>1915.42/3</f>
        <v>638.4733333333334</v>
      </c>
      <c r="AA158" s="62">
        <f>1947.97/3</f>
        <v>649.3233333333334</v>
      </c>
      <c r="AB158" s="62">
        <f>1986.9/3</f>
        <v>662.3000000000001</v>
      </c>
      <c r="AC158" s="62">
        <f>2022.63/3</f>
        <v>674.21</v>
      </c>
      <c r="AD158" s="62">
        <f>2059.01/3</f>
        <v>686.3366666666667</v>
      </c>
      <c r="AE158" s="62">
        <f>2081.62/3</f>
        <v>693.8733333333333</v>
      </c>
      <c r="AF158" s="62">
        <f>2098.27/3</f>
        <v>699.4233333333333</v>
      </c>
      <c r="AG158" s="62">
        <f>2119.23/3</f>
        <v>706.41</v>
      </c>
      <c r="AH158" s="47"/>
      <c r="AI158" s="47"/>
      <c r="AJ158" s="47"/>
      <c r="AK158" s="47"/>
      <c r="AL158" s="47"/>
      <c r="AM158" s="47"/>
      <c r="AN158" s="47"/>
      <c r="AO158" s="47"/>
    </row>
    <row r="159" spans="1:41" ht="11.25">
      <c r="A159" s="47"/>
      <c r="B159" s="47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9"/>
      <c r="W159" s="49"/>
      <c r="X159" s="49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</row>
    <row r="160" spans="1:41" ht="11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</row>
    <row r="161" spans="1:41" ht="11.25">
      <c r="A161" s="47"/>
      <c r="B161" s="190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9"/>
      <c r="W161" s="49"/>
      <c r="X161" s="49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</row>
    <row r="162" spans="1:41" ht="11.25">
      <c r="A162" s="47"/>
      <c r="B162" s="190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9"/>
      <c r="W162" s="49"/>
      <c r="X162" s="49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</row>
    <row r="163" spans="1:41" ht="11.25">
      <c r="A163" s="47"/>
      <c r="B163" s="47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9"/>
      <c r="W163" s="49"/>
      <c r="X163" s="49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</row>
    <row r="164" spans="1:41" ht="11.25">
      <c r="A164" s="47"/>
      <c r="B164" s="47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9"/>
      <c r="W164" s="49"/>
      <c r="X164" s="49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</row>
    <row r="165" spans="1:41" ht="11.25">
      <c r="A165" s="47"/>
      <c r="B165" s="47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9"/>
      <c r="W165" s="49"/>
      <c r="X165" s="49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</row>
    <row r="166" spans="1:41" ht="11.25">
      <c r="A166" s="47"/>
      <c r="B166" s="47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9"/>
      <c r="W166" s="49"/>
      <c r="X166" s="49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</row>
    <row r="167" spans="1:41" ht="11.25">
      <c r="A167" s="47"/>
      <c r="B167" s="47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9"/>
      <c r="W167" s="49"/>
      <c r="X167" s="49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</row>
    <row r="168" spans="1:41" ht="11.25">
      <c r="A168" s="47"/>
      <c r="B168" s="47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9"/>
      <c r="W168" s="49"/>
      <c r="X168" s="49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</row>
    <row r="169" spans="1:41" ht="11.25">
      <c r="A169" s="47"/>
      <c r="B169" s="47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9"/>
      <c r="W169" s="49"/>
      <c r="X169" s="49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</row>
    <row r="170" spans="1:41" ht="11.25">
      <c r="A170" s="47"/>
      <c r="B170" s="47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9"/>
      <c r="W170" s="49"/>
      <c r="X170" s="49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</row>
    <row r="171" spans="1:41" ht="11.25">
      <c r="A171" s="47"/>
      <c r="B171" s="47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9"/>
      <c r="W171" s="49"/>
      <c r="X171" s="49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</row>
    <row r="172" spans="1:41" ht="11.25">
      <c r="A172" s="47"/>
      <c r="B172" s="47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9"/>
      <c r="W172" s="49"/>
      <c r="X172" s="49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</row>
    <row r="173" spans="1:41" ht="11.25">
      <c r="A173" s="47"/>
      <c r="B173" s="47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9"/>
      <c r="W173" s="49"/>
      <c r="X173" s="49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</row>
    <row r="174" spans="1:41" ht="11.25">
      <c r="A174" s="47"/>
      <c r="B174" s="47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9"/>
      <c r="W174" s="49"/>
      <c r="X174" s="49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</row>
    <row r="175" spans="1:41" ht="11.25">
      <c r="A175" s="47"/>
      <c r="B175" s="47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9"/>
      <c r="W175" s="49"/>
      <c r="X175" s="49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</row>
    <row r="176" spans="1:41" ht="11.25">
      <c r="A176" s="47"/>
      <c r="B176" s="47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9"/>
      <c r="W176" s="49"/>
      <c r="X176" s="49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</row>
    <row r="177" spans="1:41" ht="11.25">
      <c r="A177" s="47"/>
      <c r="B177" s="47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9"/>
      <c r="W177" s="49"/>
      <c r="X177" s="49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</row>
    <row r="178" spans="1:41" ht="11.25">
      <c r="A178" s="47"/>
      <c r="B178" s="47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9"/>
      <c r="W178" s="49"/>
      <c r="X178" s="49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</row>
    <row r="179" spans="1:41" ht="11.25">
      <c r="A179" s="47"/>
      <c r="B179" s="47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9"/>
      <c r="W179" s="49"/>
      <c r="X179" s="49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</row>
    <row r="180" spans="1:41" ht="11.25">
      <c r="A180" s="47"/>
      <c r="B180" s="47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9"/>
      <c r="W180" s="49"/>
      <c r="X180" s="49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</row>
    <row r="181" spans="1:41" ht="11.25">
      <c r="A181" s="47"/>
      <c r="B181" s="47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9"/>
      <c r="W181" s="49"/>
      <c r="X181" s="49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</row>
    <row r="182" spans="1:41" ht="11.25">
      <c r="A182" s="47"/>
      <c r="B182" s="47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9"/>
      <c r="W182" s="49"/>
      <c r="X182" s="49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</row>
    <row r="183" spans="1:41" ht="11.25">
      <c r="A183" s="47"/>
      <c r="B183" s="47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9"/>
      <c r="W183" s="49"/>
      <c r="X183" s="49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</row>
    <row r="184" spans="1:41" ht="11.25">
      <c r="A184" s="47"/>
      <c r="B184" s="47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9"/>
      <c r="W184" s="49"/>
      <c r="X184" s="49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</row>
    <row r="185" spans="1:41" ht="11.25">
      <c r="A185" s="47"/>
      <c r="B185" s="47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9"/>
      <c r="W185" s="49"/>
      <c r="X185" s="49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</row>
    <row r="186" spans="1:41" ht="11.25">
      <c r="A186" s="47"/>
      <c r="B186" s="47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9"/>
      <c r="W186" s="49"/>
      <c r="X186" s="49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</row>
    <row r="187" spans="1:41" ht="11.25">
      <c r="A187" s="47"/>
      <c r="B187" s="47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9"/>
      <c r="W187" s="49"/>
      <c r="X187" s="49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</row>
    <row r="188" spans="1:41" ht="11.25">
      <c r="A188" s="47"/>
      <c r="B188" s="47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9"/>
      <c r="W188" s="49"/>
      <c r="X188" s="49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</row>
    <row r="189" spans="1:41" ht="11.25">
      <c r="A189" s="47"/>
      <c r="B189" s="47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9"/>
      <c r="W189" s="49"/>
      <c r="X189" s="49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</row>
    <row r="190" spans="1:41" ht="11.25">
      <c r="A190" s="47"/>
      <c r="B190" s="47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9"/>
      <c r="W190" s="49"/>
      <c r="X190" s="49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</row>
    <row r="191" spans="1:41" ht="11.25">
      <c r="A191" s="47"/>
      <c r="B191" s="47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9"/>
      <c r="W191" s="49"/>
      <c r="X191" s="49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</row>
    <row r="192" spans="1:41" ht="11.25">
      <c r="A192" s="47"/>
      <c r="B192" s="47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9"/>
      <c r="W192" s="49"/>
      <c r="X192" s="49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</row>
    <row r="193" spans="1:41" ht="11.25">
      <c r="A193" s="47"/>
      <c r="B193" s="47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9"/>
      <c r="W193" s="49"/>
      <c r="X193" s="49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</row>
    <row r="194" spans="1:41" ht="11.25">
      <c r="A194" s="47"/>
      <c r="B194" s="47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9"/>
      <c r="W194" s="49"/>
      <c r="X194" s="49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</row>
    <row r="195" spans="1:41" ht="11.25">
      <c r="A195" s="47"/>
      <c r="B195" s="47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9"/>
      <c r="W195" s="49"/>
      <c r="X195" s="49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</row>
    <row r="196" spans="1:41" ht="11.25">
      <c r="A196" s="47"/>
      <c r="B196" s="47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9"/>
      <c r="W196" s="49"/>
      <c r="X196" s="49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</row>
    <row r="197" spans="1:41" ht="11.25">
      <c r="A197" s="47"/>
      <c r="B197" s="47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9"/>
      <c r="W197" s="49"/>
      <c r="X197" s="49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</row>
    <row r="198" spans="1:41" ht="11.25">
      <c r="A198" s="47"/>
      <c r="B198" s="47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9"/>
      <c r="W198" s="49"/>
      <c r="X198" s="49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</row>
    <row r="199" spans="1:41" ht="11.25">
      <c r="A199" s="47"/>
      <c r="B199" s="47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9"/>
      <c r="W199" s="49"/>
      <c r="X199" s="49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</row>
    <row r="200" spans="1:41" ht="11.25">
      <c r="A200" s="47"/>
      <c r="B200" s="47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9"/>
      <c r="W200" s="49"/>
      <c r="X200" s="49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</row>
    <row r="201" spans="1:41" ht="11.25">
      <c r="A201" s="47"/>
      <c r="B201" s="47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9"/>
      <c r="W201" s="49"/>
      <c r="X201" s="49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</row>
    <row r="202" spans="1:41" ht="11.25">
      <c r="A202" s="47"/>
      <c r="B202" s="47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9"/>
      <c r="W202" s="49"/>
      <c r="X202" s="49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</row>
    <row r="203" spans="1:41" ht="11.25">
      <c r="A203" s="47"/>
      <c r="B203" s="47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9"/>
      <c r="W203" s="49"/>
      <c r="X203" s="49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</row>
    <row r="204" spans="1:41" ht="11.25">
      <c r="A204" s="47"/>
      <c r="B204" s="47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9"/>
      <c r="W204" s="49"/>
      <c r="X204" s="49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</row>
    <row r="205" spans="1:41" ht="11.25">
      <c r="A205" s="47"/>
      <c r="B205" s="47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9"/>
      <c r="W205" s="49"/>
      <c r="X205" s="49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</row>
    <row r="206" spans="1:41" ht="11.25">
      <c r="A206" s="47"/>
      <c r="B206" s="47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9"/>
      <c r="W206" s="49"/>
      <c r="X206" s="49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</row>
    <row r="207" spans="1:41" ht="11.25">
      <c r="A207" s="47"/>
      <c r="B207" s="47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9"/>
      <c r="W207" s="49"/>
      <c r="X207" s="49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</row>
    <row r="208" spans="1:41" ht="11.25">
      <c r="A208" s="47"/>
      <c r="B208" s="47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9"/>
      <c r="W208" s="49"/>
      <c r="X208" s="49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</row>
    <row r="209" spans="1:41" ht="11.25">
      <c r="A209" s="47"/>
      <c r="B209" s="47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9"/>
      <c r="W209" s="49"/>
      <c r="X209" s="49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</row>
    <row r="210" spans="1:41" ht="11.25">
      <c r="A210" s="47"/>
      <c r="B210" s="47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9"/>
      <c r="W210" s="49"/>
      <c r="X210" s="49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</row>
    <row r="211" spans="1:41" ht="11.25">
      <c r="A211" s="47"/>
      <c r="B211" s="47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9"/>
      <c r="W211" s="49"/>
      <c r="X211" s="49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</row>
    <row r="212" spans="1:41" ht="11.25">
      <c r="A212" s="47"/>
      <c r="B212" s="47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9"/>
      <c r="W212" s="49"/>
      <c r="X212" s="49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</row>
    <row r="213" spans="1:41" ht="11.25">
      <c r="A213" s="47"/>
      <c r="B213" s="47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9"/>
      <c r="W213" s="49"/>
      <c r="X213" s="49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</row>
    <row r="214" spans="1:41" ht="11.25">
      <c r="A214" s="47"/>
      <c r="B214" s="47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9"/>
      <c r="W214" s="49"/>
      <c r="X214" s="49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</row>
    <row r="215" spans="1:41" ht="11.25">
      <c r="A215" s="47"/>
      <c r="B215" s="47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9"/>
      <c r="W215" s="49"/>
      <c r="X215" s="49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</row>
    <row r="216" spans="1:41" ht="11.25">
      <c r="A216" s="47"/>
      <c r="B216" s="47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9"/>
      <c r="W216" s="49"/>
      <c r="X216" s="49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</row>
    <row r="217" spans="1:41" ht="11.25">
      <c r="A217" s="47"/>
      <c r="B217" s="47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9"/>
      <c r="W217" s="49"/>
      <c r="X217" s="49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</row>
    <row r="218" spans="1:41" ht="11.25">
      <c r="A218" s="47"/>
      <c r="B218" s="47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9"/>
      <c r="W218" s="49"/>
      <c r="X218" s="49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</row>
    <row r="219" spans="1:41" ht="11.25">
      <c r="A219" s="47"/>
      <c r="B219" s="47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9"/>
      <c r="W219" s="49"/>
      <c r="X219" s="49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</row>
    <row r="220" spans="1:41" ht="11.25">
      <c r="A220" s="47"/>
      <c r="B220" s="47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9"/>
      <c r="W220" s="49"/>
      <c r="X220" s="49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</row>
    <row r="221" spans="1:41" ht="11.25">
      <c r="A221" s="47"/>
      <c r="B221" s="47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9"/>
      <c r="W221" s="49"/>
      <c r="X221" s="49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</row>
    <row r="222" spans="1:41" ht="11.25">
      <c r="A222" s="47"/>
      <c r="B222" s="47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9"/>
      <c r="W222" s="49"/>
      <c r="X222" s="49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</row>
    <row r="223" spans="1:41" ht="11.25">
      <c r="A223" s="47"/>
      <c r="B223" s="47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9"/>
      <c r="W223" s="49"/>
      <c r="X223" s="49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</row>
    <row r="224" spans="1:41" ht="11.25">
      <c r="A224" s="47"/>
      <c r="B224" s="47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9"/>
      <c r="W224" s="49"/>
      <c r="X224" s="49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</row>
    <row r="225" spans="1:41" ht="11.25">
      <c r="A225" s="47"/>
      <c r="B225" s="47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9"/>
      <c r="W225" s="49"/>
      <c r="X225" s="49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</row>
    <row r="226" spans="1:41" ht="11.25">
      <c r="A226" s="47"/>
      <c r="B226" s="47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9"/>
      <c r="W226" s="49"/>
      <c r="X226" s="49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</row>
    <row r="227" spans="1:41" ht="11.25">
      <c r="A227" s="47"/>
      <c r="B227" s="47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9"/>
      <c r="W227" s="49"/>
      <c r="X227" s="49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</row>
    <row r="228" spans="1:41" ht="11.25">
      <c r="A228" s="47"/>
      <c r="B228" s="47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9"/>
      <c r="W228" s="49"/>
      <c r="X228" s="49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</row>
    <row r="229" spans="1:41" ht="11.25">
      <c r="A229" s="47"/>
      <c r="B229" s="47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9"/>
      <c r="W229" s="49"/>
      <c r="X229" s="49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</row>
    <row r="230" spans="1:41" ht="11.25">
      <c r="A230" s="47"/>
      <c r="B230" s="47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9"/>
      <c r="W230" s="49"/>
      <c r="X230" s="49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</row>
    <row r="231" spans="1:41" ht="11.25">
      <c r="A231" s="47"/>
      <c r="B231" s="47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9"/>
      <c r="W231" s="49"/>
      <c r="X231" s="49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</row>
    <row r="232" spans="1:41" ht="11.25">
      <c r="A232" s="47"/>
      <c r="B232" s="47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9"/>
      <c r="W232" s="49"/>
      <c r="X232" s="49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</row>
    <row r="233" spans="1:41" ht="11.25">
      <c r="A233" s="47"/>
      <c r="B233" s="47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9"/>
      <c r="W233" s="49"/>
      <c r="X233" s="49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</row>
    <row r="234" spans="1:41" ht="11.25">
      <c r="A234" s="47"/>
      <c r="B234" s="47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9"/>
      <c r="W234" s="49"/>
      <c r="X234" s="49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</row>
    <row r="235" spans="1:41" ht="11.25">
      <c r="A235" s="47"/>
      <c r="B235" s="47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9"/>
      <c r="W235" s="49"/>
      <c r="X235" s="49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</row>
    <row r="236" spans="1:41" ht="11.25">
      <c r="A236" s="47"/>
      <c r="B236" s="47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9"/>
      <c r="W236" s="49"/>
      <c r="X236" s="49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</row>
    <row r="237" spans="1:41" ht="11.25">
      <c r="A237" s="47"/>
      <c r="B237" s="47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9"/>
      <c r="W237" s="49"/>
      <c r="X237" s="49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</row>
    <row r="238" spans="1:41" ht="11.25">
      <c r="A238" s="47"/>
      <c r="B238" s="47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9"/>
      <c r="W238" s="49"/>
      <c r="X238" s="49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</row>
    <row r="239" spans="1:41" ht="11.25">
      <c r="A239" s="47"/>
      <c r="B239" s="47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9"/>
      <c r="W239" s="49"/>
      <c r="X239" s="49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</row>
    <row r="240" spans="1:41" ht="11.25">
      <c r="A240" s="47"/>
      <c r="B240" s="47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9"/>
      <c r="W240" s="49"/>
      <c r="X240" s="49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</row>
    <row r="241" spans="1:41" ht="11.25">
      <c r="A241" s="47"/>
      <c r="B241" s="47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9"/>
      <c r="W241" s="49"/>
      <c r="X241" s="49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</row>
    <row r="242" spans="1:41" ht="11.25">
      <c r="A242" s="47"/>
      <c r="B242" s="47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9"/>
      <c r="W242" s="49"/>
      <c r="X242" s="49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</row>
    <row r="243" spans="1:41" ht="11.25">
      <c r="A243" s="47"/>
      <c r="B243" s="47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9"/>
      <c r="W243" s="49"/>
      <c r="X243" s="49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</row>
    <row r="244" spans="1:41" ht="11.25">
      <c r="A244" s="47"/>
      <c r="B244" s="47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9"/>
      <c r="W244" s="49"/>
      <c r="X244" s="49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</row>
    <row r="245" spans="1:41" ht="11.25">
      <c r="A245" s="47"/>
      <c r="B245" s="47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9"/>
      <c r="W245" s="49"/>
      <c r="X245" s="49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</row>
    <row r="246" spans="1:41" ht="11.25">
      <c r="A246" s="47"/>
      <c r="B246" s="47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9"/>
      <c r="W246" s="49"/>
      <c r="X246" s="49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</row>
    <row r="247" spans="1:41" ht="11.25">
      <c r="A247" s="47"/>
      <c r="B247" s="47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9"/>
      <c r="W247" s="49"/>
      <c r="X247" s="49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</row>
    <row r="248" spans="1:41" ht="11.25">
      <c r="A248" s="47"/>
      <c r="B248" s="47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9"/>
      <c r="W248" s="49"/>
      <c r="X248" s="49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</row>
    <row r="249" spans="1:41" ht="11.25">
      <c r="A249" s="47"/>
      <c r="B249" s="47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9"/>
      <c r="W249" s="49"/>
      <c r="X249" s="49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</row>
    <row r="250" spans="1:41" ht="11.25">
      <c r="A250" s="47"/>
      <c r="B250" s="47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9"/>
      <c r="W250" s="49"/>
      <c r="X250" s="49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</row>
    <row r="251" spans="1:41" ht="11.25">
      <c r="A251" s="47"/>
      <c r="B251" s="47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9"/>
      <c r="W251" s="49"/>
      <c r="X251" s="49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</row>
    <row r="252" spans="1:41" ht="11.25">
      <c r="A252" s="47"/>
      <c r="B252" s="47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9"/>
      <c r="W252" s="49"/>
      <c r="X252" s="49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</row>
    <row r="253" spans="1:41" ht="11.25">
      <c r="A253" s="47"/>
      <c r="B253" s="47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9"/>
      <c r="W253" s="49"/>
      <c r="X253" s="49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</row>
    <row r="254" spans="1:41" ht="11.25">
      <c r="A254" s="47"/>
      <c r="B254" s="47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9"/>
      <c r="W254" s="49"/>
      <c r="X254" s="49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</row>
    <row r="255" spans="1:41" ht="11.25">
      <c r="A255" s="47"/>
      <c r="B255" s="47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9"/>
      <c r="W255" s="49"/>
      <c r="X255" s="49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</row>
    <row r="256" spans="1:41" ht="11.25">
      <c r="A256" s="47"/>
      <c r="B256" s="47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9"/>
      <c r="W256" s="49"/>
      <c r="X256" s="49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</row>
    <row r="257" spans="1:41" ht="11.25">
      <c r="A257" s="47"/>
      <c r="B257" s="47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9"/>
      <c r="W257" s="49"/>
      <c r="X257" s="49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</row>
    <row r="258" spans="1:41" ht="11.25">
      <c r="A258" s="47"/>
      <c r="B258" s="47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9"/>
      <c r="W258" s="49"/>
      <c r="X258" s="49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</row>
    <row r="259" spans="1:41" ht="11.25">
      <c r="A259" s="47"/>
      <c r="B259" s="47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9"/>
      <c r="W259" s="49"/>
      <c r="X259" s="49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</row>
    <row r="260" spans="1:41" ht="11.25">
      <c r="A260" s="47"/>
      <c r="B260" s="47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9"/>
      <c r="W260" s="49"/>
      <c r="X260" s="49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</row>
    <row r="261" spans="1:41" ht="11.25">
      <c r="A261" s="47"/>
      <c r="B261" s="47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9"/>
      <c r="W261" s="49"/>
      <c r="X261" s="49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</row>
    <row r="262" spans="1:41" ht="11.25">
      <c r="A262" s="47"/>
      <c r="B262" s="47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9"/>
      <c r="W262" s="49"/>
      <c r="X262" s="49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</row>
    <row r="263" spans="1:41" ht="11.25">
      <c r="A263" s="47"/>
      <c r="B263" s="47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9"/>
      <c r="W263" s="49"/>
      <c r="X263" s="49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</row>
    <row r="264" spans="1:41" ht="11.25">
      <c r="A264" s="47"/>
      <c r="B264" s="47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9"/>
      <c r="W264" s="49"/>
      <c r="X264" s="49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</row>
    <row r="265" spans="1:41" ht="11.25">
      <c r="A265" s="47"/>
      <c r="B265" s="47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9"/>
      <c r="W265" s="49"/>
      <c r="X265" s="49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</row>
  </sheetData>
  <mergeCells count="5">
    <mergeCell ref="AG145:AG146"/>
    <mergeCell ref="B161:B162"/>
    <mergeCell ref="AE145:AE146"/>
    <mergeCell ref="AD145:AD146"/>
    <mergeCell ref="AF145:AF14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4"/>
  <legacyDrawing r:id="rId3"/>
  <oleObjects>
    <oleObject progId="Word.Document.8" shapeId="192064" r:id="rId1"/>
    <oleObject progId="Word.Document.8" shapeId="195133534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67"/>
  <sheetViews>
    <sheetView workbookViewId="0" topLeftCell="A1">
      <pane xSplit="2" ySplit="4" topLeftCell="W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G15" sqref="AG15"/>
    </sheetView>
  </sheetViews>
  <sheetFormatPr defaultColWidth="11.421875" defaultRowHeight="12.75"/>
  <cols>
    <col min="1" max="1" width="3.7109375" style="3" customWidth="1"/>
    <col min="2" max="2" width="44.57421875" style="9" customWidth="1"/>
    <col min="3" max="23" width="6.28125" style="42" customWidth="1"/>
    <col min="24" max="25" width="6.28125" style="9" customWidth="1"/>
    <col min="26" max="34" width="6.28125" style="3" customWidth="1"/>
    <col min="35" max="42" width="6.7109375" style="3" customWidth="1"/>
    <col min="43" max="16384" width="11.421875" style="3" customWidth="1"/>
  </cols>
  <sheetData>
    <row r="1" spans="2:33" ht="11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6"/>
      <c r="Y1" s="6"/>
      <c r="AA1" s="7" t="s">
        <v>150</v>
      </c>
      <c r="AB1" s="183">
        <v>361.37</v>
      </c>
      <c r="AC1" s="183">
        <v>367.87</v>
      </c>
      <c r="AD1" s="183">
        <v>374.12</v>
      </c>
      <c r="AE1" s="183">
        <v>377.86</v>
      </c>
      <c r="AF1" s="183">
        <v>389.2</v>
      </c>
      <c r="AG1" s="183">
        <v>389.2</v>
      </c>
    </row>
    <row r="2" spans="2:24" ht="15.75" customHeight="1">
      <c r="B2" s="2" t="s">
        <v>45</v>
      </c>
      <c r="C2" s="1"/>
      <c r="D2" s="1"/>
      <c r="E2" s="1"/>
      <c r="F2" s="1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6"/>
    </row>
    <row r="3" spans="2:23" ht="8.25" customHeight="1"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33" s="11" customFormat="1" ht="15.75" customHeight="1">
      <c r="B4" s="12"/>
      <c r="C4" s="12">
        <v>1980</v>
      </c>
      <c r="D4" s="12">
        <v>1981</v>
      </c>
      <c r="E4" s="12">
        <v>1982</v>
      </c>
      <c r="F4" s="12">
        <v>1983</v>
      </c>
      <c r="G4" s="12">
        <v>1984</v>
      </c>
      <c r="H4" s="12">
        <v>1985</v>
      </c>
      <c r="I4" s="12">
        <v>1986</v>
      </c>
      <c r="J4" s="12">
        <v>1987</v>
      </c>
      <c r="K4" s="12">
        <v>1988</v>
      </c>
      <c r="L4" s="12">
        <v>1989</v>
      </c>
      <c r="M4" s="12">
        <v>1990</v>
      </c>
      <c r="N4" s="12">
        <v>1991</v>
      </c>
      <c r="O4" s="12">
        <v>1992</v>
      </c>
      <c r="P4" s="12">
        <v>1993</v>
      </c>
      <c r="Q4" s="12">
        <v>1994</v>
      </c>
      <c r="R4" s="12">
        <v>1995</v>
      </c>
      <c r="S4" s="12">
        <v>1996</v>
      </c>
      <c r="T4" s="12">
        <v>1997</v>
      </c>
      <c r="U4" s="12">
        <v>1998</v>
      </c>
      <c r="V4" s="12">
        <v>1999</v>
      </c>
      <c r="W4" s="13">
        <v>2000</v>
      </c>
      <c r="X4" s="13">
        <v>2001</v>
      </c>
      <c r="Y4" s="13">
        <v>2002</v>
      </c>
      <c r="Z4" s="13">
        <v>2003</v>
      </c>
      <c r="AA4" s="13">
        <v>2004</v>
      </c>
      <c r="AB4" s="13">
        <v>2005</v>
      </c>
      <c r="AC4" s="13">
        <v>2006</v>
      </c>
      <c r="AD4" s="13">
        <v>2007</v>
      </c>
      <c r="AE4" s="13">
        <v>2008</v>
      </c>
      <c r="AF4" s="13">
        <v>2009</v>
      </c>
      <c r="AG4" s="13">
        <v>2010</v>
      </c>
    </row>
    <row r="5" spans="2:33" s="11" customFormat="1" ht="15.75" customHeight="1">
      <c r="B5" s="105" t="s">
        <v>71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</row>
    <row r="6" spans="2:34" s="11" customFormat="1" ht="11.25" customHeight="1">
      <c r="B6" s="101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 t="s">
        <v>152</v>
      </c>
      <c r="AH6" s="184" t="s">
        <v>153</v>
      </c>
    </row>
    <row r="7" spans="2:34" s="11" customFormat="1" ht="11.25" customHeight="1">
      <c r="B7" s="18" t="s">
        <v>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81">
        <f>'Barèmes1980-2010'!AG6/'Barèmes1980-2010'!AG$6</f>
        <v>1</v>
      </c>
      <c r="AH7" s="185">
        <f>'Barèmes1980-2010'!AG6/'Barèmes1980-2010(Ratios)'!AG$1</f>
        <v>1.1821428571428572</v>
      </c>
    </row>
    <row r="8" spans="2:34" s="11" customFormat="1" ht="11.25" customHeight="1">
      <c r="B8" s="18" t="s">
        <v>1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81">
        <f>'Barèmes1980-2010'!AG7/'Barèmes1980-2010'!AG$6</f>
        <v>1.5000108674389794</v>
      </c>
      <c r="AH8" s="185">
        <f>'Barèmes1980-2010'!AG7/'Barèmes1980-2010(Ratios)'!AG$1</f>
        <v>1.7732271325796505</v>
      </c>
    </row>
    <row r="9" spans="2:34" s="11" customFormat="1" ht="11.25" customHeight="1">
      <c r="B9" s="18" t="s">
        <v>2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81">
        <f>'Barèmes1980-2010'!AG8/'Barèmes1980-2010'!AG$6</f>
        <v>1.8000173879023669</v>
      </c>
      <c r="AH9" s="185">
        <f>'Barèmes1980-2010'!AG8/'Barèmes1980-2010(Ratios)'!AG$1</f>
        <v>2.1278776978417264</v>
      </c>
    </row>
    <row r="10" spans="2:34" s="11" customFormat="1" ht="12.75" customHeight="1">
      <c r="B10" s="21" t="s">
        <v>3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81">
        <f>'Barèmes1980-2010'!AG9/'Barèmes1980-2010'!AG$6</f>
        <v>1.5000108674389794</v>
      </c>
      <c r="AH10" s="185">
        <f>'Barèmes1980-2010'!AG9/'Barèmes1980-2010(Ratios)'!AG$1</f>
        <v>1.7732271325796505</v>
      </c>
    </row>
    <row r="11" spans="2:34" s="11" customFormat="1" ht="12" customHeight="1">
      <c r="B11" s="21" t="s">
        <v>4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81">
        <f>'Barèmes1980-2010'!AG10/'Barèmes1980-2010'!AG$6</f>
        <v>1.8000173879023669</v>
      </c>
      <c r="AH11" s="185">
        <f>'Barèmes1980-2010'!AG10/'Barèmes1980-2010(Ratios)'!AG$1</f>
        <v>2.1278776978417264</v>
      </c>
    </row>
    <row r="12" spans="2:34" s="11" customFormat="1" ht="11.25" customHeight="1">
      <c r="B12" s="21" t="s">
        <v>5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81">
        <f>'Barèmes1980-2010'!AG11/'Barèmes1980-2010'!AG$6</f>
        <v>2.100023908365755</v>
      </c>
      <c r="AH12" s="185">
        <f>'Barèmes1980-2010'!AG11/'Barèmes1980-2010(Ratios)'!AG$1</f>
        <v>2.482528263103803</v>
      </c>
    </row>
    <row r="13" spans="2:34" s="11" customFormat="1" ht="12" customHeight="1">
      <c r="B13" s="102" t="s">
        <v>26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81">
        <f>'Barèmes1980-2010'!AG12/'Barèmes1980-2010'!AG$6</f>
        <v>0.4000086939511835</v>
      </c>
      <c r="AH13" s="185">
        <f>'Barèmes1980-2010'!AG12/'Barèmes1980-2010(Ratios)'!AG$1</f>
        <v>0.47286742034943474</v>
      </c>
    </row>
    <row r="14" spans="2:34" s="11" customFormat="1" ht="15.75" customHeight="1">
      <c r="B14" s="101" t="s">
        <v>151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 t="s">
        <v>152</v>
      </c>
      <c r="AH14" s="184" t="s">
        <v>153</v>
      </c>
    </row>
    <row r="15" spans="2:34" s="11" customFormat="1" ht="10.5" customHeight="1">
      <c r="B15" s="21" t="s">
        <v>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81">
        <f>'Barèmes1980-2010'!AG14/'Barèmes1980-2010'!AG$6</f>
        <v>1.284118324675607</v>
      </c>
      <c r="AH15" s="185">
        <f>'Barèmes1980-2010'!AG14/'Barèmes1980-2010(Ratios)'!AG$1</f>
        <v>1.518011305241521</v>
      </c>
    </row>
    <row r="16" spans="2:34" s="11" customFormat="1" ht="12" customHeight="1">
      <c r="B16" s="21" t="s">
        <v>7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81">
        <f>'Barèmes1980-2010'!AG15/'Barèmes1980-2010'!AG$6</f>
        <v>1.7121650111934623</v>
      </c>
      <c r="AH16" s="185">
        <f>'Barèmes1980-2010'!AG15/'Barèmes1980-2010(Ratios)'!AG$1</f>
        <v>2.0240236382322716</v>
      </c>
    </row>
    <row r="17" spans="2:34" s="11" customFormat="1" ht="10.5" customHeight="1">
      <c r="B17" s="21" t="s">
        <v>8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81">
        <f>'Barèmes1980-2010'!AG16/'Barèmes1980-2010'!AG$6</f>
        <v>0.4280466865178552</v>
      </c>
      <c r="AH17" s="185">
        <f>'Barèmes1980-2010'!AG16/'Barèmes1980-2010(Ratios)'!AG$1</f>
        <v>0.5060123329907502</v>
      </c>
    </row>
    <row r="18" spans="2:33" ht="11.25">
      <c r="B18" s="27" t="s">
        <v>148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16"/>
      <c r="X18" s="16"/>
      <c r="Y18" s="16"/>
      <c r="Z18" s="16"/>
      <c r="AA18" s="16"/>
      <c r="AB18" s="182">
        <f>'Barèmes1980-2010'!AB18/'Barèmes1980-2010(Ratios)'!AB1</f>
        <v>1.1771868168359299</v>
      </c>
      <c r="AC18" s="182">
        <f>'Barèmes1980-2010'!AC18/'Barèmes1980-2010(Ratios)'!AC1</f>
        <v>1.1772093402560686</v>
      </c>
      <c r="AD18" s="182">
        <f>'Barèmes1980-2010'!AD18/'Barèmes1980-2010(Ratios)'!AD1</f>
        <v>1.178391959798995</v>
      </c>
      <c r="AE18" s="182">
        <f>'Barèmes1980-2010'!AE18/'Barèmes1980-2010(Ratios)'!AE1</f>
        <v>1.1853861218440693</v>
      </c>
      <c r="AF18" s="182">
        <f>'Barèmes1980-2010'!AF18/'Barèmes1980-2010(Ratios)'!AF1</f>
        <v>1.1681140801644398</v>
      </c>
      <c r="AG18" s="182">
        <f>'Barèmes1980-2010'!AG18/'Barèmes1980-2010(Ratios)'!AG1</f>
        <v>1.1821428571428572</v>
      </c>
    </row>
    <row r="19" spans="2:35" ht="11.25">
      <c r="B19" s="18" t="s">
        <v>149</v>
      </c>
      <c r="C19" s="15"/>
      <c r="D19" s="15"/>
      <c r="E19" s="15"/>
      <c r="F19" s="15"/>
      <c r="G19" s="15"/>
      <c r="H19" s="15"/>
      <c r="I19" s="15"/>
      <c r="J19" s="15"/>
      <c r="K19" s="15"/>
      <c r="L19" s="181">
        <f>'Barèmes1980-2010'!L18/'Barèmes1980-2010'!L$18</f>
        <v>1</v>
      </c>
      <c r="M19" s="181">
        <f>'Barèmes1980-2010'!M18/'Barèmes1980-2010'!M$18</f>
        <v>1</v>
      </c>
      <c r="N19" s="181">
        <f>'Barèmes1980-2010'!N18/'Barèmes1980-2010'!N$18</f>
        <v>1</v>
      </c>
      <c r="O19" s="181">
        <f>'Barèmes1980-2010'!O18/'Barèmes1980-2010'!O$18</f>
        <v>1</v>
      </c>
      <c r="P19" s="181">
        <f>'Barèmes1980-2010'!P18/'Barèmes1980-2010'!P$18</f>
        <v>1</v>
      </c>
      <c r="Q19" s="181">
        <f>'Barèmes1980-2010'!Q18/'Barèmes1980-2010'!Q$18</f>
        <v>1</v>
      </c>
      <c r="R19" s="181">
        <f>'Barèmes1980-2010'!R18/'Barèmes1980-2010'!R$18</f>
        <v>1</v>
      </c>
      <c r="S19" s="181">
        <f>'Barèmes1980-2010'!S18/'Barèmes1980-2010'!S$18</f>
        <v>1</v>
      </c>
      <c r="T19" s="181">
        <f>'Barèmes1980-2010'!T18/'Barèmes1980-2010'!T$18</f>
        <v>1</v>
      </c>
      <c r="U19" s="181">
        <f>'Barèmes1980-2010'!U18/'Barèmes1980-2010'!U$18</f>
        <v>1</v>
      </c>
      <c r="V19" s="181">
        <f>'Barèmes1980-2010'!V18/'Barèmes1980-2010'!V$18</f>
        <v>1</v>
      </c>
      <c r="W19" s="187">
        <f>'Barèmes1980-2010'!W18/'Barèmes1980-2010'!W$18</f>
        <v>1</v>
      </c>
      <c r="X19" s="187">
        <f>'Barèmes1980-2010'!X18/'Barèmes1980-2010'!X$18</f>
        <v>1</v>
      </c>
      <c r="Y19" s="187">
        <f>'Barèmes1980-2010'!Y18/'Barèmes1980-2010'!Y$18</f>
        <v>1</v>
      </c>
      <c r="Z19" s="187">
        <f>'Barèmes1980-2010'!Z18/'Barèmes1980-2010'!Z$18</f>
        <v>1</v>
      </c>
      <c r="AA19" s="187">
        <f>'Barèmes1980-2010'!AA18/'Barèmes1980-2010'!AA$18</f>
        <v>1</v>
      </c>
      <c r="AB19" s="187">
        <f>'Barèmes1980-2010'!AB18/'Barèmes1980-2010'!AB$18</f>
        <v>1</v>
      </c>
      <c r="AC19" s="187">
        <f>'Barèmes1980-2010'!AC18/'Barèmes1980-2010'!AC$18</f>
        <v>1</v>
      </c>
      <c r="AD19" s="187">
        <f>'Barèmes1980-2010'!AD18/'Barèmes1980-2010'!AD$18</f>
        <v>1</v>
      </c>
      <c r="AE19" s="187">
        <f>'Barèmes1980-2010'!AE18/'Barèmes1980-2010'!AE$18</f>
        <v>1</v>
      </c>
      <c r="AF19" s="187">
        <f>'Barèmes1980-2010'!AF18/'Barèmes1980-2010'!AF$18</f>
        <v>1</v>
      </c>
      <c r="AG19" s="187">
        <f>'Barèmes1980-2010'!AG18/'Barèmes1980-2010'!AG$18</f>
        <v>1</v>
      </c>
      <c r="AI19" s="6"/>
    </row>
    <row r="20" spans="2:33" ht="11.25">
      <c r="B20" s="18" t="s">
        <v>1</v>
      </c>
      <c r="C20" s="15"/>
      <c r="D20" s="15"/>
      <c r="E20" s="15"/>
      <c r="F20" s="15"/>
      <c r="G20" s="15"/>
      <c r="H20" s="15"/>
      <c r="I20" s="15"/>
      <c r="J20" s="15"/>
      <c r="K20" s="15"/>
      <c r="L20" s="181">
        <f>'Barèmes1980-2010'!L19/'Barèmes1980-2010'!L$18</f>
        <v>1.5</v>
      </c>
      <c r="M20" s="181">
        <f>'Barèmes1980-2010'!M19/'Barèmes1980-2010'!M$18</f>
        <v>1.5</v>
      </c>
      <c r="N20" s="181">
        <f>'Barèmes1980-2010'!N19/'Barèmes1980-2010'!N$18</f>
        <v>1.5000000000000002</v>
      </c>
      <c r="O20" s="181">
        <f>'Barèmes1980-2010'!O19/'Barèmes1980-2010'!O$18</f>
        <v>1.5</v>
      </c>
      <c r="P20" s="181">
        <f>'Barèmes1980-2010'!P19/'Barèmes1980-2010'!P$18</f>
        <v>1.5000000000000002</v>
      </c>
      <c r="Q20" s="181">
        <f>'Barèmes1980-2010'!Q19/'Barèmes1980-2010'!Q$18</f>
        <v>1.5000000000000002</v>
      </c>
      <c r="R20" s="181">
        <f>'Barèmes1980-2010'!R19/'Barèmes1980-2010'!R$18</f>
        <v>1.5</v>
      </c>
      <c r="S20" s="181">
        <f>'Barèmes1980-2010'!S19/'Barèmes1980-2010'!S$18</f>
        <v>1.5</v>
      </c>
      <c r="T20" s="181">
        <f>'Barèmes1980-2010'!T19/'Barèmes1980-2010'!T$18</f>
        <v>1.5</v>
      </c>
      <c r="U20" s="181">
        <f>'Barèmes1980-2010'!U19/'Barèmes1980-2010'!U$18</f>
        <v>1.5</v>
      </c>
      <c r="V20" s="181">
        <f>'Barèmes1980-2010'!V19/'Barèmes1980-2010'!V$18</f>
        <v>1.4999999999999998</v>
      </c>
      <c r="W20" s="181">
        <f>'Barèmes1980-2010'!W19/'Barèmes1980-2010'!W$18</f>
        <v>1.4999980410210214</v>
      </c>
      <c r="X20" s="181">
        <f>'Barèmes1980-2010'!X19/'Barèmes1980-2010'!X$18</f>
        <v>1.5</v>
      </c>
      <c r="Y20" s="181">
        <f>'Barèmes1980-2010'!Y19/'Barèmes1980-2010'!Y$18</f>
        <v>1.4999999999999998</v>
      </c>
      <c r="Z20" s="181">
        <f>'Barèmes1980-2010'!Z19/'Barèmes1980-2010'!Z$18</f>
        <v>1.5</v>
      </c>
      <c r="AA20" s="181">
        <f>'Barèmes1980-2010'!AA19/'Barèmes1980-2010'!AA$18</f>
        <v>1.5000000000000002</v>
      </c>
      <c r="AB20" s="181">
        <f>'Barèmes1980-2010'!AB19/'Barèmes1980-2010'!AB$18</f>
        <v>1.5000000000000002</v>
      </c>
      <c r="AC20" s="181">
        <f>'Barèmes1980-2010'!AC19/'Barèmes1980-2010'!AC$18</f>
        <v>1.5</v>
      </c>
      <c r="AD20" s="181">
        <f>'Barèmes1980-2010'!AD19/'Barèmes1980-2010'!AD$18</f>
        <v>1.4999999999999998</v>
      </c>
      <c r="AE20" s="181">
        <f>'Barèmes1980-2010'!AE19/'Barèmes1980-2010'!AE$18</f>
        <v>1.500011162956844</v>
      </c>
      <c r="AF20" s="181">
        <f>'Barèmes1980-2010'!AF19/'Barèmes1980-2010'!AF$18</f>
        <v>1.5000109979543805</v>
      </c>
      <c r="AG20" s="181">
        <f>'Barèmes1980-2010'!AG19/'Barèmes1980-2010'!AG$18</f>
        <v>1.5000108674389794</v>
      </c>
    </row>
    <row r="21" spans="2:36" ht="11.25">
      <c r="B21" s="18" t="s">
        <v>2</v>
      </c>
      <c r="C21" s="15"/>
      <c r="D21" s="15"/>
      <c r="E21" s="15"/>
      <c r="F21" s="15"/>
      <c r="G21" s="15"/>
      <c r="H21" s="15"/>
      <c r="I21" s="15"/>
      <c r="J21" s="15"/>
      <c r="K21" s="15"/>
      <c r="L21" s="181">
        <f>'Barèmes1980-2010'!L20/'Barèmes1980-2010'!L$18</f>
        <v>1.8</v>
      </c>
      <c r="M21" s="181">
        <f>'Barèmes1980-2010'!M20/'Barèmes1980-2010'!M$18</f>
        <v>1.7999999999999998</v>
      </c>
      <c r="N21" s="181">
        <f>'Barèmes1980-2010'!N20/'Barèmes1980-2010'!N$18</f>
        <v>1.8000000000000003</v>
      </c>
      <c r="O21" s="181">
        <f>'Barèmes1980-2010'!O20/'Barèmes1980-2010'!O$18</f>
        <v>1.7999999999999998</v>
      </c>
      <c r="P21" s="181">
        <f>'Barèmes1980-2010'!P20/'Barèmes1980-2010'!P$18</f>
        <v>1.8</v>
      </c>
      <c r="Q21" s="181">
        <f>'Barèmes1980-2010'!Q20/'Barèmes1980-2010'!Q$18</f>
        <v>1.8000000000000003</v>
      </c>
      <c r="R21" s="181">
        <f>'Barèmes1980-2010'!R20/'Barèmes1980-2010'!R$18</f>
        <v>1.8</v>
      </c>
      <c r="S21" s="181">
        <f>'Barèmes1980-2010'!S20/'Barèmes1980-2010'!S$18</f>
        <v>1.8000000000000003</v>
      </c>
      <c r="T21" s="181">
        <f>'Barèmes1980-2010'!T20/'Barèmes1980-2010'!T$18</f>
        <v>1.8</v>
      </c>
      <c r="U21" s="181">
        <f>'Barèmes1980-2010'!U20/'Barèmes1980-2010'!U$18</f>
        <v>1.8</v>
      </c>
      <c r="V21" s="181">
        <f>'Barèmes1980-2010'!V20/'Barèmes1980-2010'!V$18</f>
        <v>1.8</v>
      </c>
      <c r="W21" s="181">
        <f>'Barèmes1980-2010'!W20/'Barèmes1980-2010'!W$18</f>
        <v>1.8000000000000016</v>
      </c>
      <c r="X21" s="181">
        <f>'Barèmes1980-2010'!X20/'Barèmes1980-2010'!X$18</f>
        <v>1.8</v>
      </c>
      <c r="Y21" s="181">
        <f>'Barèmes1980-2010'!Y20/'Barèmes1980-2010'!Y$18</f>
        <v>1.8</v>
      </c>
      <c r="Z21" s="181">
        <f>'Barèmes1980-2010'!Z20/'Barèmes1980-2010'!Z$18</f>
        <v>1.7999999999999998</v>
      </c>
      <c r="AA21" s="181">
        <f>'Barèmes1980-2010'!AA20/'Barèmes1980-2010'!AA$18</f>
        <v>1.7999904278740306</v>
      </c>
      <c r="AB21" s="181">
        <f>'Barèmes1980-2010'!AB20/'Barèmes1980-2010'!AB$18</f>
        <v>1.8000000000000003</v>
      </c>
      <c r="AC21" s="181">
        <f>'Barèmes1980-2010'!AC20/'Barèmes1980-2010'!AC$18</f>
        <v>1.8000046182976954</v>
      </c>
      <c r="AD21" s="181">
        <f>'Barèmes1980-2010'!AD20/'Barèmes1980-2010'!AD$18</f>
        <v>1.8000045365875788</v>
      </c>
      <c r="AE21" s="181">
        <f>'Barèmes1980-2010'!AE20/'Barèmes1980-2010'!AE$18</f>
        <v>1.8000044651827376</v>
      </c>
      <c r="AF21" s="181">
        <f>'Barèmes1980-2010'!AF20/'Barèmes1980-2010'!AF$18</f>
        <v>1.8000131975452567</v>
      </c>
      <c r="AG21" s="181">
        <f>'Barèmes1980-2010'!AG20/'Barèmes1980-2010'!AG$18</f>
        <v>1.8000173879023669</v>
      </c>
      <c r="AJ21" s="6"/>
    </row>
    <row r="22" spans="2:36" ht="11.25">
      <c r="B22" s="21" t="s">
        <v>3</v>
      </c>
      <c r="C22" s="15"/>
      <c r="D22" s="15"/>
      <c r="E22" s="15"/>
      <c r="F22" s="15"/>
      <c r="G22" s="15"/>
      <c r="H22" s="15"/>
      <c r="I22" s="15"/>
      <c r="J22" s="15"/>
      <c r="K22" s="15"/>
      <c r="L22" s="181">
        <f>'Barèmes1980-2010'!L21/'Barèmes1980-2010'!L$18</f>
        <v>1.5</v>
      </c>
      <c r="M22" s="181">
        <f>'Barèmes1980-2010'!M21/'Barèmes1980-2010'!M$18</f>
        <v>1.5</v>
      </c>
      <c r="N22" s="181">
        <f>'Barèmes1980-2010'!N21/'Barèmes1980-2010'!N$18</f>
        <v>1.5000000000000002</v>
      </c>
      <c r="O22" s="181">
        <f>'Barèmes1980-2010'!O21/'Barèmes1980-2010'!O$18</f>
        <v>1.5</v>
      </c>
      <c r="P22" s="181">
        <f>'Barèmes1980-2010'!P21/'Barèmes1980-2010'!P$18</f>
        <v>1.5000000000000002</v>
      </c>
      <c r="Q22" s="181">
        <f>'Barèmes1980-2010'!Q21/'Barèmes1980-2010'!Q$18</f>
        <v>1.5000000000000002</v>
      </c>
      <c r="R22" s="181">
        <f>'Barèmes1980-2010'!R21/'Barèmes1980-2010'!R$18</f>
        <v>1.5</v>
      </c>
      <c r="S22" s="181">
        <f>'Barèmes1980-2010'!S21/'Barèmes1980-2010'!S$18</f>
        <v>1.5</v>
      </c>
      <c r="T22" s="181">
        <f>'Barèmes1980-2010'!T21/'Barèmes1980-2010'!T$18</f>
        <v>1.5</v>
      </c>
      <c r="U22" s="181">
        <f>'Barèmes1980-2010'!U21/'Barèmes1980-2010'!U$18</f>
        <v>1.5</v>
      </c>
      <c r="V22" s="181">
        <f>'Barèmes1980-2010'!V21/'Barèmes1980-2010'!V$18</f>
        <v>1.4999999999999998</v>
      </c>
      <c r="W22" s="181">
        <f>'Barèmes1980-2010'!W21/'Barèmes1980-2010'!W$18</f>
        <v>1.4999980410210214</v>
      </c>
      <c r="X22" s="181">
        <f>'Barèmes1980-2010'!X21/'Barèmes1980-2010'!X$18</f>
        <v>1.5</v>
      </c>
      <c r="Y22" s="181">
        <f>'Barèmes1980-2010'!Y21/'Barèmes1980-2010'!Y$18</f>
        <v>1.4999999999999998</v>
      </c>
      <c r="Z22" s="181">
        <f>'Barèmes1980-2010'!Z21/'Barèmes1980-2010'!Z$18</f>
        <v>1.5</v>
      </c>
      <c r="AA22" s="181">
        <f>'Barèmes1980-2010'!AA21/'Barèmes1980-2010'!AA$18</f>
        <v>1.5000000000000002</v>
      </c>
      <c r="AB22" s="181">
        <f>'Barèmes1980-2010'!AB21/'Barèmes1980-2010'!AB$18</f>
        <v>1.5000000000000002</v>
      </c>
      <c r="AC22" s="181">
        <f>'Barèmes1980-2010'!AC21/'Barèmes1980-2010'!AC$18</f>
        <v>1.5</v>
      </c>
      <c r="AD22" s="181">
        <f>'Barèmes1980-2010'!AD21/'Barèmes1980-2010'!AD$18</f>
        <v>1.4999999999999998</v>
      </c>
      <c r="AE22" s="181">
        <f>'Barèmes1980-2010'!AE21/'Barèmes1980-2010'!AE$18</f>
        <v>1.500011162956844</v>
      </c>
      <c r="AF22" s="181">
        <f>'Barèmes1980-2010'!AF21/'Barèmes1980-2010'!AF$18</f>
        <v>1.5000109979543805</v>
      </c>
      <c r="AG22" s="181">
        <f>'Barèmes1980-2010'!AG21/'Barèmes1980-2010'!AG$18</f>
        <v>1.5000108674389794</v>
      </c>
      <c r="AJ22" s="6"/>
    </row>
    <row r="23" spans="2:35" ht="11.25">
      <c r="B23" s="21" t="s">
        <v>4</v>
      </c>
      <c r="C23" s="15"/>
      <c r="D23" s="15"/>
      <c r="E23" s="15"/>
      <c r="F23" s="15"/>
      <c r="G23" s="15"/>
      <c r="H23" s="15"/>
      <c r="I23" s="15"/>
      <c r="J23" s="15"/>
      <c r="K23" s="15"/>
      <c r="L23" s="181">
        <f>'Barèmes1980-2010'!L22/'Barèmes1980-2010'!L$18</f>
        <v>1.8</v>
      </c>
      <c r="M23" s="181">
        <f>'Barèmes1980-2010'!M22/'Barèmes1980-2010'!M$18</f>
        <v>1.7999999999999998</v>
      </c>
      <c r="N23" s="181">
        <f>'Barèmes1980-2010'!N22/'Barèmes1980-2010'!N$18</f>
        <v>1.8000000000000003</v>
      </c>
      <c r="O23" s="181">
        <f>'Barèmes1980-2010'!O22/'Barèmes1980-2010'!O$18</f>
        <v>1.7999999999999998</v>
      </c>
      <c r="P23" s="181">
        <f>'Barèmes1980-2010'!P22/'Barèmes1980-2010'!P$18</f>
        <v>1.8</v>
      </c>
      <c r="Q23" s="181">
        <f>'Barèmes1980-2010'!Q22/'Barèmes1980-2010'!Q$18</f>
        <v>1.8000000000000003</v>
      </c>
      <c r="R23" s="181">
        <f>'Barèmes1980-2010'!R22/'Barèmes1980-2010'!R$18</f>
        <v>1.8</v>
      </c>
      <c r="S23" s="181">
        <f>'Barèmes1980-2010'!S22/'Barèmes1980-2010'!S$18</f>
        <v>1.8000000000000003</v>
      </c>
      <c r="T23" s="181">
        <f>'Barèmes1980-2010'!T22/'Barèmes1980-2010'!T$18</f>
        <v>1.8</v>
      </c>
      <c r="U23" s="181">
        <f>'Barèmes1980-2010'!U22/'Barèmes1980-2010'!U$18</f>
        <v>1.8</v>
      </c>
      <c r="V23" s="181">
        <f>'Barèmes1980-2010'!V22/'Barèmes1980-2010'!V$18</f>
        <v>1.8</v>
      </c>
      <c r="W23" s="181">
        <f>'Barèmes1980-2010'!W22/'Barèmes1980-2010'!W$18</f>
        <v>1.8000000000000016</v>
      </c>
      <c r="X23" s="181">
        <f>'Barèmes1980-2010'!X22/'Barèmes1980-2010'!X$18</f>
        <v>1.8</v>
      </c>
      <c r="Y23" s="181">
        <f>'Barèmes1980-2010'!Y22/'Barèmes1980-2010'!Y$18</f>
        <v>1.8</v>
      </c>
      <c r="Z23" s="181">
        <f>'Barèmes1980-2010'!Z22/'Barèmes1980-2010'!Z$18</f>
        <v>1.7999999999999998</v>
      </c>
      <c r="AA23" s="181">
        <f>'Barèmes1980-2010'!AA22/'Barèmes1980-2010'!AA$18</f>
        <v>1.799990427874031</v>
      </c>
      <c r="AB23" s="181">
        <f>'Barèmes1980-2010'!AB22/'Barèmes1980-2010'!AB$18</f>
        <v>1.8000000000000003</v>
      </c>
      <c r="AC23" s="181">
        <f>'Barèmes1980-2010'!AC22/'Barèmes1980-2010'!AC$18</f>
        <v>1.8000046182976954</v>
      </c>
      <c r="AD23" s="181">
        <f>'Barèmes1980-2010'!AD22/'Barèmes1980-2010'!AD$18</f>
        <v>1.8000045365875788</v>
      </c>
      <c r="AE23" s="181">
        <f>'Barèmes1980-2010'!AE22/'Barèmes1980-2010'!AE$18</f>
        <v>1.8000044651827376</v>
      </c>
      <c r="AF23" s="181">
        <f>'Barèmes1980-2010'!AF22/'Barèmes1980-2010'!AF$18</f>
        <v>1.8000131975452567</v>
      </c>
      <c r="AG23" s="181">
        <f>'Barèmes1980-2010'!AG22/'Barèmes1980-2010'!AG$18</f>
        <v>1.8000173879023669</v>
      </c>
      <c r="AI23" s="6"/>
    </row>
    <row r="24" spans="2:33" ht="11.25">
      <c r="B24" s="21" t="s">
        <v>5</v>
      </c>
      <c r="C24" s="15"/>
      <c r="D24" s="15"/>
      <c r="E24" s="15"/>
      <c r="F24" s="15"/>
      <c r="G24" s="15"/>
      <c r="H24" s="15"/>
      <c r="I24" s="15"/>
      <c r="J24" s="15"/>
      <c r="K24" s="15"/>
      <c r="L24" s="181">
        <f>'Barèmes1980-2010'!L23/'Barèmes1980-2010'!L$18</f>
        <v>2.1</v>
      </c>
      <c r="M24" s="181">
        <f>'Barèmes1980-2010'!M23/'Barèmes1980-2010'!M$18</f>
        <v>2.1</v>
      </c>
      <c r="N24" s="181">
        <f>'Barèmes1980-2010'!N23/'Barèmes1980-2010'!N$18</f>
        <v>2.1</v>
      </c>
      <c r="O24" s="181">
        <f>'Barèmes1980-2010'!O23/'Barèmes1980-2010'!O$18</f>
        <v>2.1</v>
      </c>
      <c r="P24" s="181">
        <f>'Barèmes1980-2010'!P23/'Barèmes1980-2010'!P$18</f>
        <v>2.1</v>
      </c>
      <c r="Q24" s="181">
        <f>'Barèmes1980-2010'!Q23/'Barèmes1980-2010'!Q$18</f>
        <v>2.1</v>
      </c>
      <c r="R24" s="181">
        <f>'Barèmes1980-2010'!R23/'Barèmes1980-2010'!R$18</f>
        <v>2.1</v>
      </c>
      <c r="S24" s="181">
        <f>'Barèmes1980-2010'!S23/'Barèmes1980-2010'!S$18</f>
        <v>2.1</v>
      </c>
      <c r="T24" s="181">
        <f>'Barèmes1980-2010'!T23/'Barèmes1980-2010'!T$18</f>
        <v>2.1</v>
      </c>
      <c r="U24" s="181">
        <f>'Barèmes1980-2010'!U23/'Barèmes1980-2010'!U$18</f>
        <v>2.1</v>
      </c>
      <c r="V24" s="181">
        <f>'Barèmes1980-2010'!V23/'Barèmes1980-2010'!V$18</f>
        <v>2.0999999999999996</v>
      </c>
      <c r="W24" s="181">
        <f>'Barèmes1980-2010'!W23/'Barèmes1980-2010'!W$18</f>
        <v>2.1000000000000023</v>
      </c>
      <c r="X24" s="181">
        <f>'Barèmes1980-2010'!X23/'Barèmes1980-2010'!X$18</f>
        <v>2.1</v>
      </c>
      <c r="Y24" s="181">
        <f>'Barèmes1980-2010'!Y23/'Barèmes1980-2010'!Y$18</f>
        <v>2.1</v>
      </c>
      <c r="Z24" s="181">
        <f>'Barèmes1980-2010'!Z23/'Barèmes1980-2010'!Z$18</f>
        <v>2.1</v>
      </c>
      <c r="AA24" s="181">
        <f>'Barèmes1980-2010'!AA23/'Barèmes1980-2010'!AA$18</f>
        <v>2.0999808557480617</v>
      </c>
      <c r="AB24" s="181">
        <f>'Barèmes1980-2010'!AB23/'Barèmes1980-2010'!AB$18</f>
        <v>2.1</v>
      </c>
      <c r="AC24" s="181">
        <f>'Barèmes1980-2010'!AC23/'Barèmes1980-2010'!AC$18</f>
        <v>2.100009236595391</v>
      </c>
      <c r="AD24" s="181">
        <f>'Barèmes1980-2010'!AD23/'Barèmes1980-2010'!AD$18</f>
        <v>2.1000090731751575</v>
      </c>
      <c r="AE24" s="181">
        <f>'Barèmes1980-2010'!AE23/'Barèmes1980-2010'!AE$18</f>
        <v>2.100020093322319</v>
      </c>
      <c r="AF24" s="181">
        <f>'Barèmes1980-2010'!AF23/'Barèmes1980-2010'!AF$18</f>
        <v>2.0999934012273718</v>
      </c>
      <c r="AG24" s="181">
        <f>'Barèmes1980-2010'!AG23/'Barèmes1980-2010'!AG$18</f>
        <v>2.100023908365755</v>
      </c>
    </row>
    <row r="25" spans="2:33" ht="11.25">
      <c r="B25" s="21" t="s">
        <v>26</v>
      </c>
      <c r="C25" s="15"/>
      <c r="D25" s="15"/>
      <c r="E25" s="15"/>
      <c r="F25" s="15"/>
      <c r="G25" s="15"/>
      <c r="H25" s="15"/>
      <c r="I25" s="15"/>
      <c r="J25" s="15"/>
      <c r="K25" s="15"/>
      <c r="L25" s="181">
        <f>'Barèmes1980-2010'!L24/'Barèmes1980-2010'!L$18</f>
        <v>0.3</v>
      </c>
      <c r="M25" s="181">
        <f>'Barèmes1980-2010'!M24/'Barèmes1980-2010'!M$18</f>
        <v>0.3</v>
      </c>
      <c r="N25" s="181">
        <f>'Barèmes1980-2010'!N24/'Barèmes1980-2010'!N$18</f>
        <v>0.4</v>
      </c>
      <c r="O25" s="181">
        <f>'Barèmes1980-2010'!O24/'Barèmes1980-2010'!O$18</f>
        <v>0.4</v>
      </c>
      <c r="P25" s="181">
        <f>'Barèmes1980-2010'!P24/'Barèmes1980-2010'!P$18</f>
        <v>0.4000000000000001</v>
      </c>
      <c r="Q25" s="181">
        <f>'Barèmes1980-2010'!Q24/'Barèmes1980-2010'!Q$18</f>
        <v>0.4</v>
      </c>
      <c r="R25" s="181">
        <f>'Barèmes1980-2010'!R24/'Barèmes1980-2010'!R$18</f>
        <v>0.4</v>
      </c>
      <c r="S25" s="181">
        <f>'Barèmes1980-2010'!S24/'Barèmes1980-2010'!S$18</f>
        <v>0.4</v>
      </c>
      <c r="T25" s="181">
        <f>'Barèmes1980-2010'!T24/'Barèmes1980-2010'!T$18</f>
        <v>0.4</v>
      </c>
      <c r="U25" s="181">
        <f>'Barèmes1980-2010'!U24/'Barèmes1980-2010'!U$18</f>
        <v>0.39999999999999997</v>
      </c>
      <c r="V25" s="181">
        <f>'Barèmes1980-2010'!V24/'Barèmes1980-2010'!V$18</f>
        <v>0.3999999999999999</v>
      </c>
      <c r="W25" s="181">
        <f>'Barèmes1980-2010'!W24/'Barèmes1980-2010'!W$18</f>
        <v>0.4015671831841248</v>
      </c>
      <c r="X25" s="181">
        <f>'Barèmes1980-2010'!X24/'Barèmes1980-2010'!X$18</f>
        <v>0.4000000000000001</v>
      </c>
      <c r="Y25" s="181">
        <f>'Barèmes1980-2010'!Y24/'Barèmes1980-2010'!Y$18</f>
        <v>0.4000049307233371</v>
      </c>
      <c r="Z25" s="181">
        <f>'Barèmes1980-2010'!Z24/'Barèmes1980-2010'!Z$18</f>
        <v>0.4</v>
      </c>
      <c r="AA25" s="181">
        <f>'Barèmes1980-2010'!AA24/'Barèmes1980-2010'!AA$18</f>
        <v>0.3999952139370154</v>
      </c>
      <c r="AB25" s="181">
        <f>'Barèmes1980-2010'!AB24/'Barèmes1980-2010'!AB$18</f>
        <v>0.4</v>
      </c>
      <c r="AC25" s="181">
        <f>'Barèmes1980-2010'!AC24/'Barèmes1980-2010'!AC$18</f>
        <v>0.39999076340460904</v>
      </c>
      <c r="AD25" s="181">
        <f>'Barèmes1980-2010'!AD24/'Barèmes1980-2010'!AD$18</f>
        <v>0.39999092682484233</v>
      </c>
      <c r="AE25" s="181">
        <f>'Barèmes1980-2010'!AE24/'Barèmes1980-2010'!AE$18</f>
        <v>0.39999106963452474</v>
      </c>
      <c r="AF25" s="181">
        <f>'Barèmes1980-2010'!AF24/'Barèmes1980-2010'!AF$18</f>
        <v>0.3999956008182478</v>
      </c>
      <c r="AG25" s="181">
        <f>'Barèmes1980-2010'!AG24/'Barèmes1980-2010'!AG$18</f>
        <v>0.4000086939511835</v>
      </c>
    </row>
    <row r="26" spans="2:33" ht="11.25">
      <c r="B26" s="23" t="s">
        <v>155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16"/>
      <c r="X26" s="16"/>
      <c r="Y26" s="25"/>
      <c r="Z26" s="25"/>
      <c r="AA26" s="25"/>
      <c r="AB26" s="25"/>
      <c r="AC26" s="25"/>
      <c r="AD26" s="25"/>
      <c r="AE26" s="25"/>
      <c r="AF26" s="25"/>
      <c r="AG26" s="25"/>
    </row>
    <row r="27" spans="2:36" ht="11.25">
      <c r="B27" s="21" t="s">
        <v>6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81">
        <f>'Barèmes1980-2010'!AB26/'Barèmes1980-2010(Ratios)'!AB$1</f>
        <v>1.5000138362343303</v>
      </c>
      <c r="AC27" s="181">
        <f>'Barèmes1980-2010'!AC26/'Barèmes1980-2010(Ratios)'!AC$1</f>
        <v>1.5000135917579578</v>
      </c>
      <c r="AD27" s="181">
        <f>'Barèmes1980-2010'!AD26/'Barèmes1980-2010(Ratios)'!AD$1</f>
        <v>1.4999999999999998</v>
      </c>
      <c r="AE27" s="181">
        <f>'Barèmes1980-2010'!AE26/'Barèmes1980-2010(Ratios)'!AE$1</f>
        <v>1.4999999999999998</v>
      </c>
      <c r="AF27" s="181">
        <f>'Barèmes1980-2010'!AF26/'Barèmes1980-2010(Ratios)'!AF$1</f>
        <v>1.5</v>
      </c>
      <c r="AG27" s="181">
        <f>'Barèmes1980-2010'!AG26/'Barèmes1980-2010(Ratios)'!AG$1</f>
        <v>1.518011305241521</v>
      </c>
      <c r="AJ27" s="5"/>
    </row>
    <row r="28" spans="2:33" ht="11.25">
      <c r="B28" s="21" t="s">
        <v>7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0"/>
      <c r="Z28" s="20"/>
      <c r="AA28" s="20"/>
      <c r="AB28" s="181">
        <f>'Barèmes1980-2010'!AB27/'Barèmes1980-2010(Ratios)'!AB$1</f>
        <v>2.000027672468661</v>
      </c>
      <c r="AC28" s="181">
        <f>'Barèmes1980-2010'!AC27/'Barèmes1980-2010(Ratios)'!AC$1</f>
        <v>2.000027183515916</v>
      </c>
      <c r="AD28" s="181">
        <f>'Barèmes1980-2010'!AD27/'Barèmes1980-2010(Ratios)'!AD$1</f>
        <v>2</v>
      </c>
      <c r="AE28" s="181">
        <f>'Barèmes1980-2010'!AE27/'Barèmes1980-2010(Ratios)'!AE$1</f>
        <v>2</v>
      </c>
      <c r="AF28" s="181">
        <f>'Barèmes1980-2010'!AF27/'Barèmes1980-2010(Ratios)'!AF$1</f>
        <v>2</v>
      </c>
      <c r="AG28" s="181">
        <f>'Barèmes1980-2010'!AG27/'Barèmes1980-2010(Ratios)'!AG$1</f>
        <v>2.0240236382322716</v>
      </c>
    </row>
    <row r="29" spans="2:36" ht="11.25">
      <c r="B29" s="21" t="s">
        <v>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2"/>
      <c r="Z29" s="22"/>
      <c r="AA29" s="22"/>
      <c r="AB29" s="181">
        <f>'Barèmes1980-2010'!AB28/'Barèmes1980-2010(Ratios)'!AB$1</f>
        <v>0.5000138362343305</v>
      </c>
      <c r="AC29" s="181">
        <f>'Barèmes1980-2010'!AC28/'Barèmes1980-2010(Ratios)'!AC$1</f>
        <v>0.500013591757958</v>
      </c>
      <c r="AD29" s="181">
        <f>'Barèmes1980-2010'!AD28/'Barèmes1980-2010(Ratios)'!AD$1</f>
        <v>0.5</v>
      </c>
      <c r="AE29" s="181">
        <f>'Barèmes1980-2010'!AE28/'Barèmes1980-2010(Ratios)'!AE$1</f>
        <v>0.5</v>
      </c>
      <c r="AF29" s="181">
        <f>'Barèmes1980-2010'!AF28/'Barèmes1980-2010(Ratios)'!AF$1</f>
        <v>0.5</v>
      </c>
      <c r="AG29" s="181">
        <f>'Barèmes1980-2010'!AG28/'Barèmes1980-2010(Ratios)'!AG$1</f>
        <v>0.5060123329907502</v>
      </c>
      <c r="AJ29" s="5"/>
    </row>
    <row r="30" spans="2:33" ht="11.25">
      <c r="B30" s="27" t="s">
        <v>154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16"/>
      <c r="X30" s="16"/>
      <c r="Y30" s="25"/>
      <c r="Z30" s="25"/>
      <c r="AA30" s="25"/>
      <c r="AB30" s="25"/>
      <c r="AC30" s="25"/>
      <c r="AD30" s="25"/>
      <c r="AE30" s="25"/>
      <c r="AF30" s="25"/>
      <c r="AG30" s="25"/>
    </row>
    <row r="31" spans="2:33" ht="11.25">
      <c r="B31" s="18" t="s">
        <v>11</v>
      </c>
      <c r="C31" s="15"/>
      <c r="D31" s="15"/>
      <c r="E31" s="15"/>
      <c r="F31" s="15"/>
      <c r="G31" s="15"/>
      <c r="H31" s="15"/>
      <c r="I31" s="15"/>
      <c r="J31" s="15"/>
      <c r="K31" s="15"/>
      <c r="L31" s="186">
        <f>'Barèmes1980-2010'!L30/'Barèmes1980-2010'!L$18</f>
        <v>0.12000000000000001</v>
      </c>
      <c r="M31" s="186">
        <f>'Barèmes1980-2010'!M30/'Barèmes1980-2010'!M$18</f>
        <v>0.12019230769230768</v>
      </c>
      <c r="N31" s="186">
        <f>'Barèmes1980-2010'!N30/'Barèmes1980-2010'!N$18</f>
        <v>0.12022367194780988</v>
      </c>
      <c r="O31" s="186">
        <f>'Barèmes1980-2010'!O30/'Barèmes1980-2010'!O$18</f>
        <v>0.11991999231047376</v>
      </c>
      <c r="P31" s="186">
        <f>'Barèmes1980-2010'!P30/'Barèmes1980-2010'!P$18</f>
        <v>0.1198391492308102</v>
      </c>
      <c r="Q31" s="186">
        <f>'Barèmes1980-2010'!Q30/'Barèmes1980-2010'!Q$18</f>
        <v>0.12010025760634967</v>
      </c>
      <c r="R31" s="186">
        <f>'Barèmes1980-2010'!R30/'Barèmes1980-2010'!R$18</f>
        <v>0.1199659451510539</v>
      </c>
      <c r="S31" s="186">
        <f>'Barèmes1980-2010'!S30/'Barèmes1980-2010'!S$18</f>
        <v>0.12002526847757423</v>
      </c>
      <c r="T31" s="186">
        <f>'Barèmes1980-2010'!T30/'Barèmes1980-2010'!T$18</f>
        <v>0.11985068602033301</v>
      </c>
      <c r="U31" s="186">
        <f>'Barèmes1980-2010'!U30/'Barèmes1980-2010'!U$18</f>
        <v>0.1201932971655786</v>
      </c>
      <c r="V31" s="186">
        <f>'Barèmes1980-2010'!V30/'Barèmes1980-2010'!V$18</f>
        <v>0.11988970147464331</v>
      </c>
      <c r="W31" s="186">
        <f>'Barèmes1980-2010'!W30/'Barèmes1980-2010'!W$18</f>
        <v>0.11988951358551936</v>
      </c>
      <c r="X31" s="186">
        <f>'Barèmes1980-2010'!X30/'Barèmes1980-2010'!X$18</f>
        <v>0.1199923327582902</v>
      </c>
      <c r="Y31" s="186">
        <f>'Barèmes1980-2010'!Y30/'Barèmes1980-2010'!Y$18</f>
        <v>0.12000000000000001</v>
      </c>
      <c r="Z31" s="186">
        <f>'Barèmes1980-2010'!Z30/'Barèmes1980-2010'!Z$18</f>
        <v>0.11999028418751519</v>
      </c>
      <c r="AA31" s="186">
        <f>'Barèmes1980-2010'!AA30/'Barèmes1980-2010'!AA$18</f>
        <v>0.1200105293385661</v>
      </c>
      <c r="AB31" s="186">
        <f>'Barèmes1980-2010'!AB30/'Barèmes1980-2010'!AB$18</f>
        <v>0.1200047014574518</v>
      </c>
      <c r="AC31" s="186">
        <f>'Barèmes1980-2010'!AC30/'Barèmes1980-2010'!AC$18</f>
        <v>0.12000646561677365</v>
      </c>
      <c r="AD31" s="186">
        <f>'Barèmes1980-2010'!AD30/'Barèmes1980-2010'!AD$18</f>
        <v>0.11999274145987388</v>
      </c>
      <c r="AE31" s="186">
        <f>'Barèmes1980-2010'!AE30/'Barèmes1980-2010'!AE$18</f>
        <v>0.12000178607309503</v>
      </c>
      <c r="AF31" s="186">
        <f>'Barèmes1980-2010'!AF30/'Barèmes1980-2010'!AF$18</f>
        <v>0.12000967819985484</v>
      </c>
      <c r="AG31" s="186">
        <f>'Barèmes1980-2010'!AG30/'Barèmes1980-2010'!AG$18</f>
        <v>0.11999826120976331</v>
      </c>
    </row>
    <row r="32" spans="2:33" ht="11.25">
      <c r="B32" s="21" t="s">
        <v>29</v>
      </c>
      <c r="C32" s="15"/>
      <c r="D32" s="15"/>
      <c r="E32" s="15"/>
      <c r="F32" s="15"/>
      <c r="G32" s="15"/>
      <c r="H32" s="15"/>
      <c r="I32" s="15"/>
      <c r="J32" s="15"/>
      <c r="K32" s="15"/>
      <c r="L32" s="186">
        <f>'Barèmes1980-2010'!L31/'Barèmes1980-2010'!L$18</f>
        <v>0.24000000000000002</v>
      </c>
      <c r="M32" s="186">
        <f>'Barèmes1980-2010'!M31/'Barèmes1980-2010'!M$18</f>
        <v>0.23990384615384616</v>
      </c>
      <c r="N32" s="186">
        <f>'Barèmes1980-2010'!N31/'Barèmes1980-2010'!N$18</f>
        <v>0.2399813606710159</v>
      </c>
      <c r="O32" s="186">
        <f>'Barèmes1980-2010'!O31/'Barèmes1980-2010'!O$18</f>
        <v>0.23983998462094752</v>
      </c>
      <c r="P32" s="186">
        <f>'Barèmes1980-2010'!P31/'Barèmes1980-2010'!P$18</f>
        <v>0.24012214716247526</v>
      </c>
      <c r="Q32" s="186">
        <f>'Barèmes1980-2010'!Q31/'Barèmes1980-2010'!Q$18</f>
        <v>0.24020051521269933</v>
      </c>
      <c r="R32" s="186">
        <f>'Barèmes1980-2010'!R31/'Barèmes1980-2010'!R$18</f>
        <v>0.2399318903021078</v>
      </c>
      <c r="S32" s="186">
        <f>'Barèmes1980-2010'!S31/'Barèmes1980-2010'!S$18</f>
        <v>0.24005053695514847</v>
      </c>
      <c r="T32" s="186">
        <f>'Barèmes1980-2010'!T31/'Barèmes1980-2010'!T$18</f>
        <v>0.2401175202560144</v>
      </c>
      <c r="U32" s="186">
        <f>'Barèmes1980-2010'!U31/'Barèmes1980-2010'!U$18</f>
        <v>0.23997497345045318</v>
      </c>
      <c r="V32" s="186">
        <f>'Barèmes1980-2010'!V31/'Barèmes1980-2010'!V$18</f>
        <v>0.24017903528753545</v>
      </c>
      <c r="W32" s="186">
        <f>'Barèmes1980-2010'!W31/'Barèmes1980-2010'!W$18</f>
        <v>0.2401708229670698</v>
      </c>
      <c r="X32" s="186">
        <f>'Barèmes1980-2010'!X31/'Barèmes1980-2010'!X$18</f>
        <v>0.2399846655165804</v>
      </c>
      <c r="Y32" s="186">
        <f>'Barèmes1980-2010'!Y31/'Barèmes1980-2010'!Y$18</f>
        <v>0.24000000000000002</v>
      </c>
      <c r="Z32" s="186">
        <f>'Barèmes1980-2010'!Z31/'Barèmes1980-2010'!Z$18</f>
        <v>0.24000485790624243</v>
      </c>
      <c r="AA32" s="186">
        <f>'Barèmes1980-2010'!AA31/'Barèmes1980-2010'!AA$18</f>
        <v>0.23999712836220927</v>
      </c>
      <c r="AB32" s="186">
        <f>'Barèmes1980-2010'!AB31/'Barèmes1980-2010'!AB$18</f>
        <v>0.2400094029149036</v>
      </c>
      <c r="AC32" s="186">
        <f>'Barèmes1980-2010'!AC31/'Barèmes1980-2010'!AC$18</f>
        <v>0.23998983974507</v>
      </c>
      <c r="AD32" s="186">
        <f>'Barèmes1980-2010'!AD31/'Barèmes1980-2010'!AD$18</f>
        <v>0.24000816585764187</v>
      </c>
      <c r="AE32" s="186">
        <f>'Barèmes1980-2010'!AE31/'Barèmes1980-2010'!AE$18</f>
        <v>0.24000357214619006</v>
      </c>
      <c r="AF32" s="186">
        <f>'Barèmes1980-2010'!AF31/'Barèmes1980-2010'!AF$18</f>
        <v>0.2399973604909487</v>
      </c>
      <c r="AG32" s="186">
        <f>'Barèmes1980-2010'!AG31/'Barèmes1980-2010'!AG$18</f>
        <v>0.23999652241952663</v>
      </c>
    </row>
    <row r="33" spans="2:33" ht="11.25">
      <c r="B33" s="21" t="s">
        <v>30</v>
      </c>
      <c r="C33" s="15"/>
      <c r="D33" s="15"/>
      <c r="E33" s="15"/>
      <c r="F33" s="15"/>
      <c r="G33" s="15"/>
      <c r="H33" s="15"/>
      <c r="I33" s="15"/>
      <c r="J33" s="15"/>
      <c r="K33" s="15"/>
      <c r="L33" s="186">
        <f>'Barèmes1980-2010'!L32/'Barèmes1980-2010'!L$18</f>
        <v>0.29700000000000004</v>
      </c>
      <c r="M33" s="186">
        <f>'Barèmes1980-2010'!M32/'Barèmes1980-2010'!M$18</f>
        <v>0.29711538461538456</v>
      </c>
      <c r="N33" s="186">
        <f>'Barèmes1980-2010'!N32/'Barèmes1980-2010'!N$18</f>
        <v>0.2968313140726934</v>
      </c>
      <c r="O33" s="186">
        <f>'Barèmes1980-2010'!O32/'Barèmes1980-2010'!O$18</f>
        <v>0.29705372141029573</v>
      </c>
      <c r="P33" s="186">
        <f>'Barèmes1980-2010'!P32/'Barèmes1980-2010'!P$18</f>
        <v>0.2969347808718964</v>
      </c>
      <c r="Q33" s="186">
        <f>'Barèmes1980-2010'!Q32/'Barèmes1980-2010'!Q$18</f>
        <v>0.29720462298962613</v>
      </c>
      <c r="R33" s="186">
        <f>'Barèmes1980-2010'!R32/'Barèmes1980-2010'!R$18</f>
        <v>0.2971199573454418</v>
      </c>
      <c r="S33" s="186">
        <f>'Barèmes1980-2010'!S32/'Barèmes1980-2010'!S$18</f>
        <v>0.2969046114971573</v>
      </c>
      <c r="T33" s="186">
        <f>'Barèmes1980-2010'!T32/'Barèmes1980-2010'!T$18</f>
        <v>0.29712982575874225</v>
      </c>
      <c r="U33" s="186">
        <f>'Barèmes1980-2010'!U32/'Barèmes1980-2010'!U$18</f>
        <v>0.29719027586831426</v>
      </c>
      <c r="V33" s="186">
        <f>'Barèmes1980-2010'!V32/'Barèmes1980-2010'!V$18</f>
        <v>0.2969268273188666</v>
      </c>
      <c r="W33" s="186">
        <f>'Barèmes1980-2010'!W32/'Barèmes1980-2010'!W$18</f>
        <v>0.2969812133915806</v>
      </c>
      <c r="X33" s="186">
        <f>'Barèmes1980-2010'!X32/'Barèmes1980-2010'!X$18</f>
        <v>0.29710561625455245</v>
      </c>
      <c r="Y33" s="186">
        <f>'Barèmes1980-2010'!Y32/'Barèmes1980-2010'!Y$18</f>
        <v>0.29700000000000004</v>
      </c>
      <c r="Z33" s="186">
        <f>'Barèmes1980-2010'!Z32/'Barèmes1980-2010'!Z$18</f>
        <v>0.2969880981297061</v>
      </c>
      <c r="AA33" s="186">
        <f>'Barèmes1980-2010'!AA32/'Barèmes1980-2010'!AA$18</f>
        <v>0.2969991385086628</v>
      </c>
      <c r="AB33" s="186">
        <f>'Barèmes1980-2010'!AB32/'Barèmes1980-2010'!AB$18</f>
        <v>0.29699106723084157</v>
      </c>
      <c r="AC33" s="186">
        <f>'Barèmes1980-2010'!AC32/'Barèmes1980-2010'!AC$18</f>
        <v>0.2970027247956403</v>
      </c>
      <c r="AD33" s="186">
        <f>'Barèmes1980-2010'!AD32/'Barèmes1980-2010'!AD$18</f>
        <v>0.29701038878555547</v>
      </c>
      <c r="AE33" s="186">
        <f>'Barèmes1980-2010'!AE32/'Barèmes1980-2010'!AE$18</f>
        <v>0.2970016297916992</v>
      </c>
      <c r="AF33" s="186">
        <f>'Barèmes1980-2010'!AF32/'Barèmes1980-2010'!AF$18</f>
        <v>0.29701075599938415</v>
      </c>
      <c r="AG33" s="186">
        <f>'Barèmes1980-2010'!AG32/'Barèmes1980-2010'!AG$18</f>
        <v>0.2970071073050925</v>
      </c>
    </row>
    <row r="34" spans="2:33" ht="11.25">
      <c r="B34" s="27" t="s">
        <v>17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16"/>
      <c r="X34" s="16"/>
      <c r="Y34" s="25"/>
      <c r="Z34" s="25"/>
      <c r="AA34" s="25"/>
      <c r="AB34" s="25"/>
      <c r="AC34" s="25"/>
      <c r="AD34" s="25"/>
      <c r="AE34" s="25"/>
      <c r="AF34" s="25"/>
      <c r="AG34" s="25"/>
    </row>
    <row r="35" spans="2:33" ht="11.25">
      <c r="B35" s="21" t="s">
        <v>12</v>
      </c>
      <c r="C35" s="15"/>
      <c r="D35" s="15"/>
      <c r="E35" s="15"/>
      <c r="F35" s="15"/>
      <c r="G35" s="15"/>
      <c r="H35" s="19">
        <v>191.97142495620903</v>
      </c>
      <c r="I35" s="19">
        <v>299.0859156926445</v>
      </c>
      <c r="J35" s="19">
        <v>299.0859156926445</v>
      </c>
      <c r="K35" s="19">
        <v>299.0859156926445</v>
      </c>
      <c r="L35" s="19">
        <v>308.03530820871896</v>
      </c>
      <c r="M35" s="19">
        <v>316.66011135892546</v>
      </c>
      <c r="N35" s="19">
        <v>322.0390208504521</v>
      </c>
      <c r="O35" s="19">
        <v>327.8816294360758</v>
      </c>
      <c r="P35" s="19">
        <v>338.1293794156222</v>
      </c>
      <c r="Q35" s="19">
        <v>338.1293794156222</v>
      </c>
      <c r="R35" s="19">
        <v>343.18369954128093</v>
      </c>
      <c r="S35" s="19">
        <v>343.18369954128093</v>
      </c>
      <c r="T35" s="19">
        <v>343.18369954128093</v>
      </c>
      <c r="U35" s="19">
        <v>371.052015096518</v>
      </c>
      <c r="V35" s="19">
        <v>382.18079335484896</v>
      </c>
      <c r="W35" s="19">
        <v>389.8318284074515</v>
      </c>
      <c r="X35" s="19">
        <v>398.36389173883856</v>
      </c>
      <c r="Y35" s="19">
        <v>406.3666666666666</v>
      </c>
      <c r="Z35" s="19">
        <f>13.56*30.4166666666667</f>
        <v>412.45000000000044</v>
      </c>
      <c r="AA35" s="19">
        <f>13.76*30.4166666666667</f>
        <v>418.53333333333376</v>
      </c>
      <c r="AB35" s="19">
        <f>14*30.4166666666667</f>
        <v>425.8333333333338</v>
      </c>
      <c r="AC35" s="19">
        <f>14.25*30.4166666666667</f>
        <v>433.43750000000045</v>
      </c>
      <c r="AD35" s="19">
        <f>14.51*30.4166666666667</f>
        <v>441.3458333333338</v>
      </c>
      <c r="AE35" s="19">
        <f>14.74*30.4166666666667</f>
        <v>448.34166666666715</v>
      </c>
      <c r="AF35" s="19">
        <f>14.96*30.4166666666667</f>
        <v>455.03333333333387</v>
      </c>
      <c r="AG35" s="19">
        <f>15.14*30.4166666666667</f>
        <v>460.50833333333384</v>
      </c>
    </row>
    <row r="36" spans="2:33" ht="11.25">
      <c r="B36" s="29" t="s">
        <v>13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19">
        <v>447.2854165745621</v>
      </c>
      <c r="N36" s="19">
        <v>456.88970466051893</v>
      </c>
      <c r="O36" s="19">
        <v>470.88643005562864</v>
      </c>
      <c r="P36" s="19">
        <v>485.63206124791725</v>
      </c>
      <c r="Q36" s="19">
        <v>485.63206124791725</v>
      </c>
      <c r="R36" s="19">
        <v>492.912137025242</v>
      </c>
      <c r="S36" s="19">
        <v>492.912137025242</v>
      </c>
      <c r="T36" s="19">
        <v>492.912137025242</v>
      </c>
      <c r="U36" s="19">
        <v>532.9757387552335</v>
      </c>
      <c r="V36" s="19">
        <v>548.9733575015842</v>
      </c>
      <c r="W36" s="19">
        <v>559.963026031686</v>
      </c>
      <c r="X36" s="19">
        <v>572.20468211585</v>
      </c>
      <c r="Y36" s="22">
        <v>583.6958333333333</v>
      </c>
      <c r="Z36" s="22">
        <v>592.2125</v>
      </c>
      <c r="AA36" s="19">
        <f>19.76*30.4166666666667</f>
        <v>601.033333333334</v>
      </c>
      <c r="AB36" s="19">
        <f>20.1*30.4166666666667</f>
        <v>611.3750000000007</v>
      </c>
      <c r="AC36" s="19">
        <f>20.46*30.4166666666667</f>
        <v>622.3250000000007</v>
      </c>
      <c r="AD36" s="19">
        <f>20.83*30.4166666666667</f>
        <v>633.5791666666673</v>
      </c>
      <c r="AE36" s="19">
        <f>21.16*30.4166666666667</f>
        <v>643.6166666666674</v>
      </c>
      <c r="AF36" s="19">
        <f>21.48*30.4166666666667</f>
        <v>653.3500000000007</v>
      </c>
      <c r="AG36" s="19">
        <f>21.74*30.4166666666667</f>
        <v>661.258333333334</v>
      </c>
    </row>
    <row r="37" spans="2:33" ht="11.25">
      <c r="B37" s="23" t="s">
        <v>46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5"/>
      <c r="X37" s="16"/>
      <c r="Y37" s="25"/>
      <c r="Z37" s="25"/>
      <c r="AA37" s="25"/>
      <c r="AB37" s="25"/>
      <c r="AC37" s="25"/>
      <c r="AD37" s="25"/>
      <c r="AE37" s="25"/>
      <c r="AF37" s="25"/>
      <c r="AG37" s="25"/>
    </row>
    <row r="38" spans="2:34" ht="11.25">
      <c r="B38" s="31"/>
      <c r="C38" s="30"/>
      <c r="D38" s="30"/>
      <c r="E38" s="30"/>
      <c r="F38" s="30"/>
      <c r="G38" s="30"/>
      <c r="H38" s="30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>
        <f>29.26*30.4166666666667</f>
        <v>889.9916666666677</v>
      </c>
      <c r="AA38" s="19">
        <f>29.7*30.4166666666667</f>
        <v>903.3750000000009</v>
      </c>
      <c r="AB38" s="19">
        <f>30.23*30.4166666666667</f>
        <v>919.4958333333343</v>
      </c>
      <c r="AC38" s="19">
        <f>30.77*30.4166666666667</f>
        <v>935.9208333333344</v>
      </c>
      <c r="AD38" s="19">
        <f>31.32*30.4166666666667</f>
        <v>952.650000000001</v>
      </c>
      <c r="AE38" s="19">
        <f>31.82*30.4166666666667</f>
        <v>967.8583333333344</v>
      </c>
      <c r="AF38" s="19">
        <f>32.3*30.4166666666667</f>
        <v>982.4583333333343</v>
      </c>
      <c r="AG38" s="19">
        <f>32.69*30.4166666666667</f>
        <v>994.3208333333343</v>
      </c>
      <c r="AH38" s="32"/>
    </row>
    <row r="39" spans="2:33" ht="11.25">
      <c r="B39" s="23" t="s">
        <v>47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16"/>
      <c r="X39" s="16"/>
      <c r="Y39" s="25"/>
      <c r="Z39" s="25"/>
      <c r="AA39" s="25"/>
      <c r="AB39" s="25"/>
      <c r="AC39" s="25"/>
      <c r="AD39" s="25"/>
      <c r="AE39" s="25"/>
      <c r="AF39" s="25"/>
      <c r="AG39" s="25"/>
    </row>
    <row r="40" spans="2:33" ht="11.25">
      <c r="B40" s="26" t="s">
        <v>20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7"/>
      <c r="X40" s="17"/>
      <c r="Y40" s="20"/>
      <c r="Z40" s="20"/>
      <c r="AA40" s="20"/>
      <c r="AB40" s="20"/>
      <c r="AC40" s="20"/>
      <c r="AD40" s="20"/>
      <c r="AE40" s="20"/>
      <c r="AF40" s="20"/>
      <c r="AG40" s="20"/>
    </row>
    <row r="41" spans="2:33" ht="11.25">
      <c r="B41" s="33"/>
      <c r="C41" s="30"/>
      <c r="D41" s="30"/>
      <c r="E41" s="30"/>
      <c r="F41" s="30"/>
      <c r="G41" s="30"/>
      <c r="H41" s="30"/>
      <c r="I41" s="19">
        <v>202.63650412044288</v>
      </c>
      <c r="J41" s="19">
        <v>202.63650412044288</v>
      </c>
      <c r="K41" s="19">
        <v>202.63650412044288</v>
      </c>
      <c r="L41" s="19">
        <v>202.63650412044288</v>
      </c>
      <c r="M41" s="19">
        <v>202.63650412044288</v>
      </c>
      <c r="N41" s="19">
        <v>202.63650412044288</v>
      </c>
      <c r="O41" s="19">
        <v>202.63650412044288</v>
      </c>
      <c r="P41" s="19">
        <v>202.63650412044288</v>
      </c>
      <c r="Q41" s="19">
        <v>202.63650412044288</v>
      </c>
      <c r="R41" s="19">
        <v>202.63650412044288</v>
      </c>
      <c r="S41" s="19">
        <v>202.63650412044288</v>
      </c>
      <c r="T41" s="19">
        <v>202.63650412044288</v>
      </c>
      <c r="U41" s="19">
        <v>261.3408094331387</v>
      </c>
      <c r="V41" s="19">
        <v>269.22369403278975</v>
      </c>
      <c r="W41" s="19">
        <v>274.6026035243164</v>
      </c>
      <c r="X41" s="19">
        <v>280.630691747579</v>
      </c>
      <c r="Y41" s="22">
        <v>286.22083333333336</v>
      </c>
      <c r="Z41" s="22">
        <v>290.4791666666667</v>
      </c>
      <c r="AA41" s="22">
        <f>9.69*30.4166666666667</f>
        <v>294.7375000000003</v>
      </c>
      <c r="AB41" s="22">
        <f>9.86*30.4166666666667</f>
        <v>299.9083333333333</v>
      </c>
      <c r="AC41" s="22">
        <f>10.04*30.4166666666667</f>
        <v>305.38333333333367</v>
      </c>
      <c r="AD41" s="22">
        <f>10.22*30.4166666666667</f>
        <v>310.8583333333337</v>
      </c>
      <c r="AE41" s="22">
        <f>10.38*30.4166666666667</f>
        <v>315.72500000000036</v>
      </c>
      <c r="AF41" s="22">
        <f>10.54*30.4166666666667</f>
        <v>320.591666666667</v>
      </c>
      <c r="AG41" s="22">
        <f>10.67*30.4166666666667</f>
        <v>324.5458333333337</v>
      </c>
    </row>
    <row r="42" spans="2:33" ht="11.25">
      <c r="B42" s="27" t="s">
        <v>48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16"/>
      <c r="X42" s="16"/>
      <c r="Y42" s="25"/>
      <c r="Z42" s="25"/>
      <c r="AA42" s="25"/>
      <c r="AB42" s="25"/>
      <c r="AC42" s="25"/>
      <c r="AD42" s="25"/>
      <c r="AE42" s="25"/>
      <c r="AF42" s="25"/>
      <c r="AG42" s="25"/>
    </row>
    <row r="43" spans="2:33" ht="11.25">
      <c r="B43" s="18" t="s">
        <v>31</v>
      </c>
      <c r="C43" s="19">
        <v>185.47862131206773</v>
      </c>
      <c r="D43" s="19">
        <v>215.9684247595498</v>
      </c>
      <c r="E43" s="19">
        <v>304.89803447482075</v>
      </c>
      <c r="F43" s="19">
        <v>336.60743006020215</v>
      </c>
      <c r="G43" s="19">
        <v>356.3495777924468</v>
      </c>
      <c r="H43" s="19">
        <v>376.54907257640366</v>
      </c>
      <c r="I43" s="19">
        <v>392.1750968432382</v>
      </c>
      <c r="J43" s="19">
        <v>401.32203787748284</v>
      </c>
      <c r="K43" s="19">
        <v>415.80469451503683</v>
      </c>
      <c r="L43" s="19">
        <v>426.6026584059626</v>
      </c>
      <c r="M43" s="19">
        <v>441.0853150435166</v>
      </c>
      <c r="N43" s="19">
        <v>454.42460405178997</v>
      </c>
      <c r="O43" s="19">
        <v>462.6827673155405</v>
      </c>
      <c r="P43" s="19">
        <v>477.29195663740154</v>
      </c>
      <c r="Q43" s="19">
        <v>486.85813246904905</v>
      </c>
      <c r="R43" s="19">
        <v>492.70150329975894</v>
      </c>
      <c r="S43" s="19">
        <v>517.1451787236053</v>
      </c>
      <c r="T43" s="19">
        <v>523.3696720974089</v>
      </c>
      <c r="U43" s="19">
        <v>529.1368184195001</v>
      </c>
      <c r="V43" s="19">
        <v>539.7320251175</v>
      </c>
      <c r="W43" s="19">
        <v>545.1317693080491</v>
      </c>
      <c r="X43" s="19">
        <v>557.1249334941162</v>
      </c>
      <c r="Y43" s="19">
        <v>569.38</v>
      </c>
      <c r="Z43" s="19">
        <v>577.92</v>
      </c>
      <c r="AA43" s="19">
        <v>587.74</v>
      </c>
      <c r="AB43" s="19">
        <v>599.49</v>
      </c>
      <c r="AC43" s="19">
        <v>610.28</v>
      </c>
      <c r="AD43" s="19">
        <v>621.27</v>
      </c>
      <c r="AE43" s="19">
        <v>628.1</v>
      </c>
      <c r="AF43" s="19">
        <v>652.6</v>
      </c>
      <c r="AG43" s="19">
        <v>681.63</v>
      </c>
    </row>
    <row r="44" spans="2:36" ht="11.25">
      <c r="B44" s="21" t="s">
        <v>38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9">
        <v>76.3769576359426</v>
      </c>
      <c r="Q44" s="19">
        <v>77.9014478083167</v>
      </c>
      <c r="R44" s="19">
        <v>78.81614191174117</v>
      </c>
      <c r="S44" s="19">
        <v>82.77981635991384</v>
      </c>
      <c r="T44" s="19">
        <v>83.6945104633383</v>
      </c>
      <c r="U44" s="19">
        <v>84.60920456676276</v>
      </c>
      <c r="V44" s="19">
        <v>86.28614375637427</v>
      </c>
      <c r="W44" s="19">
        <v>87.20083785979874</v>
      </c>
      <c r="X44" s="19">
        <v>89.18267508388507</v>
      </c>
      <c r="Y44" s="19">
        <v>91.1</v>
      </c>
      <c r="Z44" s="19">
        <v>92.47</v>
      </c>
      <c r="AA44" s="19">
        <v>94.04</v>
      </c>
      <c r="AB44" s="19">
        <v>95.92</v>
      </c>
      <c r="AC44" s="19">
        <v>97.64</v>
      </c>
      <c r="AD44" s="19">
        <v>99.4</v>
      </c>
      <c r="AE44" s="19">
        <v>100.5</v>
      </c>
      <c r="AF44" s="19">
        <v>100.5</v>
      </c>
      <c r="AG44" s="19">
        <v>100.5</v>
      </c>
      <c r="AJ44" s="5"/>
    </row>
    <row r="45" spans="2:33" ht="11.25">
      <c r="B45" s="21" t="s">
        <v>35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>
        <v>100</v>
      </c>
      <c r="AC45" s="19">
        <v>101.8</v>
      </c>
      <c r="AD45" s="19">
        <v>103.63</v>
      </c>
      <c r="AE45" s="19">
        <v>104.77</v>
      </c>
      <c r="AF45" s="19">
        <v>104.77</v>
      </c>
      <c r="AG45" s="19">
        <v>104.77</v>
      </c>
    </row>
    <row r="46" spans="2:33" ht="12.75">
      <c r="B46" s="27" t="s">
        <v>49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6"/>
      <c r="X46" s="16"/>
      <c r="Y46" s="25"/>
      <c r="Z46" s="25"/>
      <c r="AA46" s="25"/>
      <c r="AB46" s="180">
        <v>7323.48</v>
      </c>
      <c r="AC46" s="180">
        <v>7635.53</v>
      </c>
      <c r="AD46" s="180">
        <v>7719.52</v>
      </c>
      <c r="AE46" s="180">
        <v>8125.59</v>
      </c>
      <c r="AF46" s="25"/>
      <c r="AG46" s="25"/>
    </row>
    <row r="47" spans="2:33" ht="12.75"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7"/>
      <c r="X47" s="17"/>
      <c r="Y47" s="20"/>
      <c r="Z47" s="20"/>
      <c r="AA47" s="20"/>
      <c r="AB47" s="179">
        <f>AB46/AD49</f>
        <v>11.787918296392872</v>
      </c>
      <c r="AC47" s="179">
        <f>AC46/AE49</f>
        <v>12.156551504537493</v>
      </c>
      <c r="AD47" s="179">
        <f>AD46/AF49</f>
        <v>12.192582121435876</v>
      </c>
      <c r="AE47" s="179">
        <f>AE46/AG49</f>
        <v>12</v>
      </c>
      <c r="AF47" s="20"/>
      <c r="AG47" s="20"/>
    </row>
    <row r="48" spans="2:33" ht="12.75">
      <c r="B48" s="14" t="s">
        <v>36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7"/>
      <c r="X48" s="17"/>
      <c r="Y48" s="20"/>
      <c r="Z48" s="20"/>
      <c r="AA48" s="20"/>
      <c r="AB48" s="180">
        <v>13137.69</v>
      </c>
      <c r="AC48" s="180">
        <v>13374.16</v>
      </c>
      <c r="AD48" s="180">
        <v>13521.27</v>
      </c>
      <c r="AE48" s="180">
        <v>13765.73</v>
      </c>
      <c r="AF48" s="20"/>
      <c r="AG48" s="20"/>
    </row>
    <row r="49" spans="2:33" ht="11.25">
      <c r="B49" s="34" t="s">
        <v>41</v>
      </c>
      <c r="C49" s="19">
        <v>185.4796376388493</v>
      </c>
      <c r="D49" s="19">
        <v>215.9694410863314</v>
      </c>
      <c r="E49" s="19">
        <v>304.89803447482075</v>
      </c>
      <c r="F49" s="19">
        <v>336.65824639928127</v>
      </c>
      <c r="G49" s="19">
        <v>356.3495777924468</v>
      </c>
      <c r="H49" s="19">
        <v>376.54907257640366</v>
      </c>
      <c r="I49" s="19">
        <v>392.1750968432382</v>
      </c>
      <c r="J49" s="19">
        <v>401.32203787748284</v>
      </c>
      <c r="K49" s="19">
        <v>415.80469451503683</v>
      </c>
      <c r="L49" s="19">
        <v>426.6031665693534</v>
      </c>
      <c r="M49" s="19">
        <v>441.0858232069074</v>
      </c>
      <c r="N49" s="19">
        <v>454.4251122151808</v>
      </c>
      <c r="O49" s="19">
        <v>462.6827673155405</v>
      </c>
      <c r="P49" s="19">
        <v>477.29246480079235</v>
      </c>
      <c r="Q49" s="19">
        <v>486.83323246290024</v>
      </c>
      <c r="R49" s="19">
        <v>492.7025196265406</v>
      </c>
      <c r="S49" s="19">
        <v>517.1451787236053</v>
      </c>
      <c r="T49" s="19">
        <v>523.3701802607997</v>
      </c>
      <c r="U49" s="19">
        <v>529.1378347462817</v>
      </c>
      <c r="V49" s="19">
        <v>539.7330414442818</v>
      </c>
      <c r="W49" s="19">
        <v>545.1322774714399</v>
      </c>
      <c r="X49" s="19">
        <v>557.1249334941162</v>
      </c>
      <c r="Y49" s="20">
        <v>569.3816666666667</v>
      </c>
      <c r="Z49" s="20">
        <v>577.92</v>
      </c>
      <c r="AA49" s="20">
        <v>587.74</v>
      </c>
      <c r="AB49" s="20">
        <v>599.49</v>
      </c>
      <c r="AC49" s="20">
        <v>610.28</v>
      </c>
      <c r="AD49" s="20">
        <v>621.27</v>
      </c>
      <c r="AE49" s="20">
        <v>628.1</v>
      </c>
      <c r="AF49" s="20">
        <f>7597.59/12</f>
        <v>633.1325</v>
      </c>
      <c r="AG49" s="20">
        <f>8125.59/12</f>
        <v>677.1325</v>
      </c>
    </row>
    <row r="50" spans="2:34" ht="11.25">
      <c r="B50" s="19" t="s">
        <v>39</v>
      </c>
      <c r="C50" s="19">
        <v>94.01022729640306</v>
      </c>
      <c r="D50" s="19">
        <v>107.9847205431657</v>
      </c>
      <c r="E50" s="19">
        <v>128.3112561748204</v>
      </c>
      <c r="F50" s="19">
        <v>143.55615789856142</v>
      </c>
      <c r="G50" s="19">
        <v>151.940853846619</v>
      </c>
      <c r="H50" s="19">
        <v>160.57963149007225</v>
      </c>
      <c r="I50" s="19">
        <v>167.18575557036007</v>
      </c>
      <c r="J50" s="19">
        <v>171.12402184899315</v>
      </c>
      <c r="K50" s="19">
        <v>177.22198253848956</v>
      </c>
      <c r="L50" s="19">
        <v>181.7954530556119</v>
      </c>
      <c r="M50" s="19">
        <v>188.02045459280612</v>
      </c>
      <c r="N50" s="19">
        <v>193.6737723153601</v>
      </c>
      <c r="O50" s="19">
        <v>197.16739562705075</v>
      </c>
      <c r="P50" s="19">
        <v>203.39239716424504</v>
      </c>
      <c r="Q50" s="19">
        <v>207.45770429057595</v>
      </c>
      <c r="R50" s="19">
        <v>209.96040899022344</v>
      </c>
      <c r="S50" s="19">
        <v>215.24530825445368</v>
      </c>
      <c r="T50" s="19">
        <v>217.83694154748966</v>
      </c>
      <c r="U50" s="19">
        <v>220.2380135689789</v>
      </c>
      <c r="V50" s="19">
        <v>222.89316728586374</v>
      </c>
      <c r="W50" s="19">
        <v>224.01112674560477</v>
      </c>
      <c r="X50" s="19">
        <v>228.94031163628105</v>
      </c>
      <c r="Y50" s="19">
        <v>233.97</v>
      </c>
      <c r="Z50" s="19">
        <v>237.48</v>
      </c>
      <c r="AA50" s="19">
        <v>241.52</v>
      </c>
      <c r="AB50" s="19">
        <v>246.35</v>
      </c>
      <c r="AC50" s="19">
        <v>250.78</v>
      </c>
      <c r="AD50" s="19">
        <v>255.3</v>
      </c>
      <c r="AE50" s="19">
        <v>258.1</v>
      </c>
      <c r="AF50" s="19">
        <f>3122.08/12</f>
        <v>260.17333333333335</v>
      </c>
      <c r="AG50" s="19">
        <f>3153.3/12</f>
        <v>262.77500000000003</v>
      </c>
      <c r="AH50" s="6"/>
    </row>
    <row r="51" spans="2:33" ht="11.25">
      <c r="B51" s="18" t="s">
        <v>40</v>
      </c>
      <c r="C51" s="20">
        <v>91.46941034244622</v>
      </c>
      <c r="D51" s="20">
        <v>107.9847205431657</v>
      </c>
      <c r="E51" s="20">
        <v>176.58677830000033</v>
      </c>
      <c r="F51" s="20">
        <v>193.10208850071982</v>
      </c>
      <c r="G51" s="20">
        <v>204.40872394582775</v>
      </c>
      <c r="H51" s="20">
        <v>215.9694410863314</v>
      </c>
      <c r="I51" s="20">
        <v>224.98934127287814</v>
      </c>
      <c r="J51" s="20">
        <v>230.1980160284897</v>
      </c>
      <c r="K51" s="20">
        <v>238.58271197654724</v>
      </c>
      <c r="L51" s="20">
        <v>244.8077135137415</v>
      </c>
      <c r="M51" s="20">
        <v>253.06536861410123</v>
      </c>
      <c r="N51" s="20">
        <v>260.75133989982066</v>
      </c>
      <c r="O51" s="20">
        <v>265.5153716884898</v>
      </c>
      <c r="P51" s="20">
        <v>273.9000676365473</v>
      </c>
      <c r="Q51" s="20">
        <v>279.3882322570941</v>
      </c>
      <c r="R51" s="20">
        <v>282.74211063631714</v>
      </c>
      <c r="S51" s="20">
        <v>301.89987046915167</v>
      </c>
      <c r="T51" s="20">
        <v>305.53323871330997</v>
      </c>
      <c r="U51" s="20">
        <v>308.8998211773028</v>
      </c>
      <c r="V51" s="20">
        <v>316.83987415841796</v>
      </c>
      <c r="W51" s="20">
        <v>321.12115072583515</v>
      </c>
      <c r="X51" s="20">
        <v>328.1846218578352</v>
      </c>
      <c r="Y51" s="20">
        <v>335.4</v>
      </c>
      <c r="Z51" s="20">
        <v>340.43</v>
      </c>
      <c r="AA51" s="20">
        <v>346.22</v>
      </c>
      <c r="AB51" s="20">
        <v>353.14</v>
      </c>
      <c r="AC51" s="20">
        <v>359.5</v>
      </c>
      <c r="AD51" s="20">
        <v>365.97</v>
      </c>
      <c r="AE51" s="20">
        <v>369.99</v>
      </c>
      <c r="AF51" s="20">
        <f>4475.49/12</f>
        <v>372.9575</v>
      </c>
      <c r="AG51" s="20">
        <f>4972.29/12</f>
        <v>414.3575</v>
      </c>
    </row>
    <row r="52" spans="2:33" ht="11.25">
      <c r="B52" s="35" t="s">
        <v>44</v>
      </c>
      <c r="C52" s="19">
        <v>370.9592752776986</v>
      </c>
      <c r="D52" s="19">
        <v>431.9388821726628</v>
      </c>
      <c r="E52" s="19">
        <v>564.0613637784185</v>
      </c>
      <c r="F52" s="19">
        <v>622.5001537194257</v>
      </c>
      <c r="G52" s="19">
        <v>652.7358754715121</v>
      </c>
      <c r="H52" s="19">
        <v>684.3690465482748</v>
      </c>
      <c r="I52" s="19">
        <v>710.6665020217281</v>
      </c>
      <c r="J52" s="19">
        <v>719.9404839036705</v>
      </c>
      <c r="K52" s="19">
        <v>746.110898529426</v>
      </c>
      <c r="L52" s="19">
        <v>765.5481482271958</v>
      </c>
      <c r="M52" s="19">
        <v>791.4644811575556</v>
      </c>
      <c r="N52" s="19">
        <v>815.3481605247498</v>
      </c>
      <c r="O52" s="19">
        <v>830.0848988576995</v>
      </c>
      <c r="P52" s="19">
        <v>856.255313483455</v>
      </c>
      <c r="Q52" s="19">
        <v>873.4058279226637</v>
      </c>
      <c r="R52" s="19">
        <v>883.8994019425054</v>
      </c>
      <c r="S52" s="19">
        <v>927.7539025678005</v>
      </c>
      <c r="T52" s="19">
        <v>938.9080889956709</v>
      </c>
      <c r="U52" s="19">
        <v>949.2492139982753</v>
      </c>
      <c r="V52" s="19">
        <v>968.2418207291026</v>
      </c>
      <c r="W52" s="19">
        <v>977.9223333236782</v>
      </c>
      <c r="X52" s="19">
        <v>999.4303488389229</v>
      </c>
      <c r="Y52" s="19">
        <v>1021.41</v>
      </c>
      <c r="Z52" s="19">
        <v>1036.73</v>
      </c>
      <c r="AA52" s="19">
        <v>1054.36</v>
      </c>
      <c r="AB52" s="19">
        <v>1075.45</v>
      </c>
      <c r="AC52" s="19">
        <v>1094.8</v>
      </c>
      <c r="AD52" s="19">
        <v>1114.51</v>
      </c>
      <c r="AE52" s="19">
        <v>1126.77</v>
      </c>
      <c r="AF52" s="19">
        <f>13629.44/12</f>
        <v>1135.7866666666666</v>
      </c>
      <c r="AG52" s="19">
        <f>13765.73/12</f>
        <v>1147.1441666666667</v>
      </c>
    </row>
    <row r="53" spans="2:36" ht="11.25">
      <c r="B53" s="18" t="s">
        <v>39</v>
      </c>
      <c r="C53" s="19">
        <v>188.02045459280612</v>
      </c>
      <c r="D53" s="19">
        <v>215.9694410863314</v>
      </c>
      <c r="E53" s="19">
        <v>256.6225123496408</v>
      </c>
      <c r="F53" s="19">
        <v>287.11231579712285</v>
      </c>
      <c r="G53" s="19">
        <v>303.881707693238</v>
      </c>
      <c r="H53" s="19">
        <v>321.1592629801445</v>
      </c>
      <c r="I53" s="19">
        <v>334.37151114072014</v>
      </c>
      <c r="J53" s="19">
        <v>342.2480436979863</v>
      </c>
      <c r="K53" s="19">
        <v>354.4439650769791</v>
      </c>
      <c r="L53" s="19">
        <v>363.5909061112238</v>
      </c>
      <c r="M53" s="19">
        <v>376.04090918561224</v>
      </c>
      <c r="N53" s="19">
        <v>387.3475446307202</v>
      </c>
      <c r="O53" s="19">
        <v>394.3347912541015</v>
      </c>
      <c r="P53" s="19">
        <v>406.7847943284901</v>
      </c>
      <c r="Q53" s="19">
        <v>414.9154085811519</v>
      </c>
      <c r="R53" s="19">
        <v>419.9208179804469</v>
      </c>
      <c r="S53" s="19">
        <v>430.49061650890735</v>
      </c>
      <c r="T53" s="19">
        <v>435.6738830949793</v>
      </c>
      <c r="U53" s="19">
        <v>440.4760271379578</v>
      </c>
      <c r="V53" s="19">
        <v>445.7863345717275</v>
      </c>
      <c r="W53" s="19">
        <v>448.02225349120954</v>
      </c>
      <c r="X53" s="19">
        <v>457.8806232725621</v>
      </c>
      <c r="Y53" s="20">
        <v>467.9533333333333</v>
      </c>
      <c r="Z53" s="20">
        <f aca="true" t="shared" si="0" ref="Z53:AG53">Z52-Z54</f>
        <v>474.97</v>
      </c>
      <c r="AA53" s="20">
        <f t="shared" si="0"/>
        <v>483.05999999999995</v>
      </c>
      <c r="AB53" s="20">
        <f t="shared" si="0"/>
        <v>492.71000000000004</v>
      </c>
      <c r="AC53" s="20">
        <f t="shared" si="0"/>
        <v>501.5799999999999</v>
      </c>
      <c r="AD53" s="20">
        <f t="shared" si="0"/>
        <v>510.61</v>
      </c>
      <c r="AE53" s="20">
        <f t="shared" si="0"/>
        <v>516.23</v>
      </c>
      <c r="AF53" s="20">
        <f t="shared" si="0"/>
        <v>520.3516666666666</v>
      </c>
      <c r="AG53" s="20">
        <f t="shared" si="0"/>
        <v>525.5500000000001</v>
      </c>
      <c r="AJ53" s="6"/>
    </row>
    <row r="54" spans="2:33" ht="11.25">
      <c r="B54" s="36" t="s">
        <v>40</v>
      </c>
      <c r="C54" s="28">
        <v>182.93882068489245</v>
      </c>
      <c r="D54" s="28">
        <v>215.9694410863314</v>
      </c>
      <c r="E54" s="28">
        <v>307.43885142877764</v>
      </c>
      <c r="F54" s="28">
        <v>335.3878379223028</v>
      </c>
      <c r="G54" s="28">
        <v>348.8541677782742</v>
      </c>
      <c r="H54" s="28">
        <v>363.2097835681302</v>
      </c>
      <c r="I54" s="28">
        <v>376.294990881008</v>
      </c>
      <c r="J54" s="28">
        <v>377.6924402056842</v>
      </c>
      <c r="K54" s="28">
        <v>391.66693345244687</v>
      </c>
      <c r="L54" s="28">
        <v>401.95724211597206</v>
      </c>
      <c r="M54" s="28">
        <v>415.42357197194326</v>
      </c>
      <c r="N54" s="28">
        <v>428.00061589402964</v>
      </c>
      <c r="O54" s="28">
        <v>435.75010760359805</v>
      </c>
      <c r="P54" s="28">
        <v>449.47051915496496</v>
      </c>
      <c r="Q54" s="28">
        <v>458.4904193415117</v>
      </c>
      <c r="R54" s="28">
        <v>463.9785839620585</v>
      </c>
      <c r="S54" s="28">
        <v>497.26328605889313</v>
      </c>
      <c r="T54" s="28">
        <v>503.2342059006917</v>
      </c>
      <c r="U54" s="28">
        <v>508.7731868603176</v>
      </c>
      <c r="V54" s="28">
        <v>522.4554861573752</v>
      </c>
      <c r="W54" s="28">
        <v>529.9000798324687</v>
      </c>
      <c r="X54" s="28">
        <v>541.5497255663607</v>
      </c>
      <c r="Y54" s="28">
        <v>553.4633333333334</v>
      </c>
      <c r="Z54" s="28">
        <f>280.88*2</f>
        <v>561.76</v>
      </c>
      <c r="AA54" s="28">
        <f>285.65*2</f>
        <v>571.3</v>
      </c>
      <c r="AB54" s="28">
        <f>291.37*2</f>
        <v>582.74</v>
      </c>
      <c r="AC54" s="28">
        <f>296.61*2</f>
        <v>593.22</v>
      </c>
      <c r="AD54" s="28">
        <f>301.95*2</f>
        <v>603.9</v>
      </c>
      <c r="AE54" s="28">
        <f>305.27*2</f>
        <v>610.54</v>
      </c>
      <c r="AF54" s="28">
        <f>7385.22/12</f>
        <v>615.4350000000001</v>
      </c>
      <c r="AG54" s="28">
        <f>7459.13/12</f>
        <v>621.5941666666666</v>
      </c>
    </row>
    <row r="55" spans="2:33" ht="11.25">
      <c r="B55" s="37" t="s">
        <v>32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</row>
    <row r="56" spans="2:33" ht="11.25">
      <c r="B56" s="38" t="s">
        <v>42</v>
      </c>
      <c r="C56" s="20">
        <v>91.46941034244622</v>
      </c>
      <c r="D56" s="20">
        <v>107.9847205431657</v>
      </c>
      <c r="E56" s="20">
        <v>176.58677830000033</v>
      </c>
      <c r="F56" s="20">
        <v>193.10208850071982</v>
      </c>
      <c r="G56" s="20">
        <v>204.40872394582775</v>
      </c>
      <c r="H56" s="20">
        <v>215.9694410863314</v>
      </c>
      <c r="I56" s="20">
        <v>224.98934127287814</v>
      </c>
      <c r="J56" s="20">
        <v>230.1980160284897</v>
      </c>
      <c r="K56" s="20">
        <v>238.58271197654724</v>
      </c>
      <c r="L56" s="20">
        <v>244.8077135137415</v>
      </c>
      <c r="M56" s="20">
        <v>253.06536861410123</v>
      </c>
      <c r="N56" s="20">
        <v>260.75133989982066</v>
      </c>
      <c r="O56" s="20">
        <v>265.5153716884898</v>
      </c>
      <c r="P56" s="20">
        <v>273.9000676365473</v>
      </c>
      <c r="Q56" s="20">
        <v>279.3882322570941</v>
      </c>
      <c r="R56" s="20">
        <v>282.74211063631714</v>
      </c>
      <c r="S56" s="20">
        <v>301.89987046915167</v>
      </c>
      <c r="T56" s="20">
        <v>305.53323871330997</v>
      </c>
      <c r="U56" s="20">
        <v>308.8998211773028</v>
      </c>
      <c r="V56" s="20">
        <v>316.83987415841796</v>
      </c>
      <c r="W56" s="20">
        <v>321.12115072583515</v>
      </c>
      <c r="X56" s="20">
        <v>328.1846218578352</v>
      </c>
      <c r="Y56" s="20">
        <v>335.4</v>
      </c>
      <c r="Z56" s="20">
        <v>340.43</v>
      </c>
      <c r="AA56" s="20">
        <v>346.22</v>
      </c>
      <c r="AB56" s="20">
        <v>353.14</v>
      </c>
      <c r="AC56" s="20">
        <v>359.5</v>
      </c>
      <c r="AD56" s="20">
        <v>365.97</v>
      </c>
      <c r="AE56" s="20">
        <v>369.99</v>
      </c>
      <c r="AF56" s="20">
        <v>372.9575</v>
      </c>
      <c r="AG56" s="20">
        <f>4520.24/12</f>
        <v>376.68666666666667</v>
      </c>
    </row>
    <row r="57" spans="2:33" ht="11.25">
      <c r="B57" s="38" t="s">
        <v>44</v>
      </c>
      <c r="C57" s="20">
        <v>182.93882068489245</v>
      </c>
      <c r="D57" s="20">
        <v>215.9694410863314</v>
      </c>
      <c r="E57" s="20">
        <v>307.43885142877764</v>
      </c>
      <c r="F57" s="20">
        <v>335.3878379223028</v>
      </c>
      <c r="G57" s="20">
        <v>348.8541677782742</v>
      </c>
      <c r="H57" s="20">
        <v>363.2097835681302</v>
      </c>
      <c r="I57" s="20">
        <v>376.294990881008</v>
      </c>
      <c r="J57" s="20">
        <v>377.6924402056842</v>
      </c>
      <c r="K57" s="20">
        <v>391.66693345244687</v>
      </c>
      <c r="L57" s="20">
        <v>401.95724211597206</v>
      </c>
      <c r="M57" s="20">
        <v>415.42357197194326</v>
      </c>
      <c r="N57" s="20">
        <v>428.00061589402964</v>
      </c>
      <c r="O57" s="20">
        <v>435.75010760359805</v>
      </c>
      <c r="P57" s="20">
        <v>449.47051915496496</v>
      </c>
      <c r="Q57" s="20">
        <v>458.4904193415117</v>
      </c>
      <c r="R57" s="20">
        <v>463.9785839620585</v>
      </c>
      <c r="S57" s="20">
        <v>497.26328605889313</v>
      </c>
      <c r="T57" s="20">
        <v>503.2342059006917</v>
      </c>
      <c r="U57" s="20">
        <v>508.7731868603176</v>
      </c>
      <c r="V57" s="20">
        <v>522.4554861573752</v>
      </c>
      <c r="W57" s="20">
        <v>529.9000798324687</v>
      </c>
      <c r="X57" s="20">
        <v>541.5497255663607</v>
      </c>
      <c r="Y57" s="20">
        <v>553.4633333333334</v>
      </c>
      <c r="Z57" s="20">
        <v>561.76</v>
      </c>
      <c r="AA57" s="20">
        <v>571.3</v>
      </c>
      <c r="AB57" s="20">
        <v>582.74</v>
      </c>
      <c r="AC57" s="20">
        <v>593.22</v>
      </c>
      <c r="AD57" s="20">
        <v>603.9</v>
      </c>
      <c r="AE57" s="20">
        <v>610.54</v>
      </c>
      <c r="AF57" s="20">
        <v>615.435</v>
      </c>
      <c r="AG57" s="20">
        <f>7459.07/12</f>
        <v>621.5891666666666</v>
      </c>
    </row>
    <row r="58" spans="2:33" ht="11.25">
      <c r="B58" s="27" t="s">
        <v>18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16"/>
      <c r="X58" s="16"/>
      <c r="Y58" s="25"/>
      <c r="Z58" s="25"/>
      <c r="AA58" s="25"/>
      <c r="AB58" s="25"/>
      <c r="AC58" s="25"/>
      <c r="AD58" s="25"/>
      <c r="AE58" s="25"/>
      <c r="AF58" s="25"/>
      <c r="AG58" s="25"/>
    </row>
    <row r="59" spans="2:33" ht="11.25">
      <c r="B59" s="35" t="s">
        <v>14</v>
      </c>
      <c r="C59" s="39"/>
      <c r="D59" s="39"/>
      <c r="E59" s="39"/>
      <c r="F59" s="39"/>
      <c r="G59" s="39"/>
      <c r="H59" s="39"/>
      <c r="I59" s="39"/>
      <c r="J59" s="39"/>
      <c r="K59" s="39"/>
      <c r="L59" s="19">
        <v>391.18417823119506</v>
      </c>
      <c r="M59" s="19">
        <v>404.4472427308497</v>
      </c>
      <c r="N59" s="19">
        <v>416.6431641098426</v>
      </c>
      <c r="O59" s="19">
        <v>424.2656149717131</v>
      </c>
      <c r="P59" s="19">
        <v>437.5286794713678</v>
      </c>
      <c r="Q59" s="19">
        <v>446.21827345390017</v>
      </c>
      <c r="R59" s="19">
        <v>451.55398905720955</v>
      </c>
      <c r="S59" s="19">
        <v>462.98766535001533</v>
      </c>
      <c r="T59" s="19">
        <v>468.4758299705621</v>
      </c>
      <c r="U59" s="19">
        <v>473.65909655663404</v>
      </c>
      <c r="V59" s="19">
        <v>479.29971019441825</v>
      </c>
      <c r="W59" s="19">
        <v>481.7388944702168</v>
      </c>
      <c r="X59" s="19">
        <v>492.41032567683555</v>
      </c>
      <c r="Y59" s="19">
        <v>503.24</v>
      </c>
      <c r="Z59" s="19">
        <v>510.78</v>
      </c>
      <c r="AA59" s="19">
        <v>519.46</v>
      </c>
      <c r="AB59" s="19">
        <v>529.84</v>
      </c>
      <c r="AC59" s="19">
        <v>539.37</v>
      </c>
      <c r="AD59" s="19">
        <v>549.07</v>
      </c>
      <c r="AE59" s="19">
        <v>555.1</v>
      </c>
      <c r="AF59" s="19">
        <v>559.54</v>
      </c>
      <c r="AG59" s="19">
        <v>565.13</v>
      </c>
    </row>
    <row r="60" spans="2:33" ht="11.25">
      <c r="B60" s="21" t="s">
        <v>23</v>
      </c>
      <c r="C60" s="39"/>
      <c r="D60" s="39"/>
      <c r="E60" s="39"/>
      <c r="F60" s="39"/>
      <c r="G60" s="39"/>
      <c r="H60" s="39"/>
      <c r="I60" s="39"/>
      <c r="J60" s="39"/>
      <c r="K60" s="39"/>
      <c r="L60" s="19">
        <v>257.0290430622739</v>
      </c>
      <c r="M60" s="19">
        <v>265.7186370448063</v>
      </c>
      <c r="N60" s="19">
        <v>273.79843495838907</v>
      </c>
      <c r="O60" s="19">
        <v>278.6768035099862</v>
      </c>
      <c r="P60" s="19">
        <v>287.36639749251856</v>
      </c>
      <c r="Q60" s="19">
        <v>293.1594601475402</v>
      </c>
      <c r="R60" s="19">
        <v>296.6657875440006</v>
      </c>
      <c r="S60" s="19">
        <v>304.1357893886337</v>
      </c>
      <c r="T60" s="19">
        <v>307.79456580233153</v>
      </c>
      <c r="U60" s="19">
        <v>311.14844418155457</v>
      </c>
      <c r="V60" s="19">
        <v>314.80722059525243</v>
      </c>
      <c r="W60" s="19">
        <v>481.7388944702168</v>
      </c>
      <c r="X60" s="19">
        <v>492.41032567683555</v>
      </c>
      <c r="Y60" s="19">
        <v>503.24</v>
      </c>
      <c r="Z60" s="19">
        <v>510.78</v>
      </c>
      <c r="AA60" s="19">
        <v>519.46</v>
      </c>
      <c r="AB60" s="19">
        <v>529.84</v>
      </c>
      <c r="AC60" s="19">
        <v>539.37</v>
      </c>
      <c r="AD60" s="19">
        <v>549.07</v>
      </c>
      <c r="AE60" s="19">
        <v>555.1</v>
      </c>
      <c r="AF60" s="19">
        <v>559.54</v>
      </c>
      <c r="AG60" s="19">
        <v>565.13</v>
      </c>
    </row>
    <row r="61" spans="2:33" ht="11.25">
      <c r="B61" s="40" t="s">
        <v>24</v>
      </c>
      <c r="C61" s="41"/>
      <c r="D61" s="41"/>
      <c r="E61" s="41"/>
      <c r="F61" s="41"/>
      <c r="G61" s="41"/>
      <c r="H61" s="41"/>
      <c r="I61" s="41"/>
      <c r="J61" s="41"/>
      <c r="K61" s="41"/>
      <c r="L61" s="22">
        <v>195.74453813283492</v>
      </c>
      <c r="M61" s="22">
        <v>202.29984587404357</v>
      </c>
      <c r="N61" s="22">
        <v>208.39780656354</v>
      </c>
      <c r="O61" s="22">
        <v>212.20903199447525</v>
      </c>
      <c r="P61" s="22">
        <v>218.7643397356839</v>
      </c>
      <c r="Q61" s="22">
        <v>223.1853612355688</v>
      </c>
      <c r="R61" s="22">
        <v>225.9294435458422</v>
      </c>
      <c r="S61" s="22">
        <v>231.57005718362637</v>
      </c>
      <c r="T61" s="22">
        <v>234.31413949389975</v>
      </c>
      <c r="U61" s="22">
        <v>236.90577278693573</v>
      </c>
      <c r="V61" s="22">
        <v>239.80230411444654</v>
      </c>
      <c r="W61" s="22">
        <v>481.74</v>
      </c>
      <c r="X61" s="22">
        <v>492.41</v>
      </c>
      <c r="Y61" s="22">
        <v>503.24</v>
      </c>
      <c r="Z61" s="22">
        <v>510.78</v>
      </c>
      <c r="AA61" s="22">
        <v>519.46</v>
      </c>
      <c r="AB61" s="22">
        <v>529.84</v>
      </c>
      <c r="AC61" s="22"/>
      <c r="AD61" s="22"/>
      <c r="AE61" s="22"/>
      <c r="AF61" s="22"/>
      <c r="AG61" s="22"/>
    </row>
    <row r="62" ht="11.25">
      <c r="W62" s="43"/>
    </row>
    <row r="63" ht="11.25"/>
    <row r="64" ht="11.25"/>
    <row r="65" ht="11.25">
      <c r="B65" s="4"/>
    </row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7" spans="2:35" s="7" customFormat="1" ht="11.25">
      <c r="B87" s="44" t="s">
        <v>15</v>
      </c>
      <c r="C87" s="44">
        <v>1980</v>
      </c>
      <c r="D87" s="44">
        <v>1981</v>
      </c>
      <c r="E87" s="44">
        <v>1982</v>
      </c>
      <c r="F87" s="44">
        <v>1983</v>
      </c>
      <c r="G87" s="44">
        <v>1984</v>
      </c>
      <c r="H87" s="44">
        <v>1985</v>
      </c>
      <c r="I87" s="44">
        <v>1986</v>
      </c>
      <c r="J87" s="44">
        <v>1987</v>
      </c>
      <c r="K87" s="44">
        <v>1988</v>
      </c>
      <c r="L87" s="44">
        <v>1989</v>
      </c>
      <c r="M87" s="44">
        <v>1990</v>
      </c>
      <c r="N87" s="44">
        <v>1991</v>
      </c>
      <c r="O87" s="44">
        <v>1992</v>
      </c>
      <c r="P87" s="44">
        <v>1993</v>
      </c>
      <c r="Q87" s="44">
        <v>1994</v>
      </c>
      <c r="R87" s="44">
        <v>1995</v>
      </c>
      <c r="S87" s="44">
        <v>1996</v>
      </c>
      <c r="T87" s="44">
        <v>1997</v>
      </c>
      <c r="U87" s="44">
        <v>1998</v>
      </c>
      <c r="V87" s="44">
        <v>1999</v>
      </c>
      <c r="W87" s="44">
        <v>2000</v>
      </c>
      <c r="X87" s="44">
        <v>2001</v>
      </c>
      <c r="Y87" s="44">
        <v>2002</v>
      </c>
      <c r="Z87" s="44">
        <v>2003</v>
      </c>
      <c r="AA87" s="44">
        <v>2004</v>
      </c>
      <c r="AB87" s="44">
        <v>2005</v>
      </c>
      <c r="AC87" s="44">
        <v>2006</v>
      </c>
      <c r="AD87" s="44">
        <v>2007</v>
      </c>
      <c r="AE87" s="44">
        <v>2008</v>
      </c>
      <c r="AF87" s="44">
        <v>2009</v>
      </c>
      <c r="AG87" s="44">
        <v>2010</v>
      </c>
      <c r="AH87" s="3"/>
      <c r="AI87" s="3"/>
    </row>
    <row r="88" spans="2:33" ht="11.25">
      <c r="B88" s="45" t="s">
        <v>16</v>
      </c>
      <c r="C88" s="46">
        <v>1.9711657928797162</v>
      </c>
      <c r="D88" s="46">
        <v>2.2547209649412996</v>
      </c>
      <c r="E88" s="46">
        <v>2.7669496628589982</v>
      </c>
      <c r="F88" s="46">
        <v>3.0931905597470566</v>
      </c>
      <c r="G88" s="46">
        <v>3.4727886126682086</v>
      </c>
      <c r="H88" s="46">
        <v>3.7136580599033167</v>
      </c>
      <c r="I88" s="46">
        <v>3.969772408862166</v>
      </c>
      <c r="J88" s="46">
        <v>4.103927544031087</v>
      </c>
      <c r="K88" s="46">
        <v>4.244180639889505</v>
      </c>
      <c r="L88" s="46">
        <v>4.384433735747923</v>
      </c>
      <c r="M88" s="46">
        <v>4.559750105570944</v>
      </c>
      <c r="N88" s="46">
        <v>4.869221610562888</v>
      </c>
      <c r="O88" s="46">
        <v>4.9789849029738225</v>
      </c>
      <c r="P88" s="46">
        <v>5.192413527106198</v>
      </c>
      <c r="Q88" s="46">
        <v>5.309799270379004</v>
      </c>
      <c r="R88" s="46">
        <v>5.421087052962314</v>
      </c>
      <c r="S88" s="46">
        <v>5.637564657439436</v>
      </c>
      <c r="T88" s="46">
        <v>5.779342243470227</v>
      </c>
      <c r="U88" s="46">
        <v>6.011064749671092</v>
      </c>
      <c r="V88" s="46">
        <v>6.131499473288645</v>
      </c>
      <c r="W88" s="46">
        <v>6.207723981907351</v>
      </c>
      <c r="X88" s="46">
        <v>6.405907704315985</v>
      </c>
      <c r="Y88" s="45">
        <v>6.67</v>
      </c>
      <c r="Z88" s="45">
        <v>6.83</v>
      </c>
      <c r="AA88" s="45">
        <v>7.19</v>
      </c>
      <c r="AB88" s="45">
        <v>7.61</v>
      </c>
      <c r="AC88" s="45">
        <v>8.03</v>
      </c>
      <c r="AD88" s="45">
        <v>8.27</v>
      </c>
      <c r="AE88" s="45">
        <v>8.44</v>
      </c>
      <c r="AF88" s="45">
        <v>8.71</v>
      </c>
      <c r="AG88" s="45">
        <v>8.86</v>
      </c>
    </row>
    <row r="89" spans="2:25" ht="11.25">
      <c r="B89" s="3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3"/>
    </row>
    <row r="90" spans="1:34" ht="12.75">
      <c r="A90" s="79"/>
      <c r="B90" s="76" t="s">
        <v>59</v>
      </c>
      <c r="C90" s="76"/>
      <c r="D90" s="76"/>
      <c r="E90" s="76"/>
      <c r="F90" s="76"/>
      <c r="G90" s="76"/>
      <c r="H90" s="76"/>
      <c r="I90" s="76"/>
      <c r="J90" s="76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</row>
    <row r="91" spans="1:34" ht="11.25">
      <c r="A91" s="47"/>
      <c r="B91" s="88" t="s">
        <v>60</v>
      </c>
      <c r="C91" s="88"/>
      <c r="D91" s="88"/>
      <c r="E91" s="88"/>
      <c r="F91" s="88"/>
      <c r="G91" s="88"/>
      <c r="H91" s="88"/>
      <c r="I91" s="88"/>
      <c r="J91" s="88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</row>
    <row r="92" spans="1:34" ht="11.25">
      <c r="A92" s="47"/>
      <c r="B92" s="88"/>
      <c r="C92" s="88"/>
      <c r="D92" s="88"/>
      <c r="E92" s="88"/>
      <c r="F92" s="88"/>
      <c r="G92" s="88"/>
      <c r="H92" s="88"/>
      <c r="I92" s="88"/>
      <c r="J92" s="88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</row>
    <row r="93" spans="1:34" ht="11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</row>
    <row r="94" spans="1:34" ht="12">
      <c r="A94" s="47"/>
      <c r="B94" s="89" t="s">
        <v>61</v>
      </c>
      <c r="C94" s="90"/>
      <c r="D94" s="90"/>
      <c r="E94" s="90"/>
      <c r="F94" s="90"/>
      <c r="G94" s="90"/>
      <c r="H94" s="90"/>
      <c r="I94" s="90"/>
      <c r="J94" s="90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</row>
    <row r="95" spans="1:34" ht="11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</row>
    <row r="96" spans="1:34" ht="11.25">
      <c r="A96" s="91"/>
      <c r="B96" s="91"/>
      <c r="C96" s="92">
        <v>1990</v>
      </c>
      <c r="D96" s="92">
        <v>1991</v>
      </c>
      <c r="E96" s="92">
        <v>1992</v>
      </c>
      <c r="F96" s="92">
        <v>1993</v>
      </c>
      <c r="G96" s="92">
        <v>1994</v>
      </c>
      <c r="H96" s="92">
        <v>1995</v>
      </c>
      <c r="I96" s="92">
        <v>1996</v>
      </c>
      <c r="J96" s="92">
        <v>1997</v>
      </c>
      <c r="K96" s="92">
        <v>1998</v>
      </c>
      <c r="L96" s="92">
        <v>1999</v>
      </c>
      <c r="M96" s="92">
        <v>2000</v>
      </c>
      <c r="N96" s="92">
        <v>2001</v>
      </c>
      <c r="O96" s="92">
        <v>2002</v>
      </c>
      <c r="P96" s="92">
        <v>2003</v>
      </c>
      <c r="Q96" s="92">
        <v>2004</v>
      </c>
      <c r="R96" s="92">
        <v>2005</v>
      </c>
      <c r="S96" s="92">
        <v>2006</v>
      </c>
      <c r="T96" s="92">
        <v>2007</v>
      </c>
      <c r="U96" s="92">
        <v>2008</v>
      </c>
      <c r="V96" s="92">
        <v>2009</v>
      </c>
      <c r="W96" s="92">
        <v>2010</v>
      </c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</row>
    <row r="97" spans="1:34" ht="11.25">
      <c r="A97" s="47"/>
      <c r="B97" s="93" t="s">
        <v>62</v>
      </c>
      <c r="C97" s="94" t="s">
        <v>63</v>
      </c>
      <c r="D97" s="94">
        <v>88.77388255915864</v>
      </c>
      <c r="E97" s="94">
        <v>91.12839614373357</v>
      </c>
      <c r="F97" s="94">
        <v>92.87248028045575</v>
      </c>
      <c r="G97" s="94">
        <v>94.26774758983348</v>
      </c>
      <c r="H97" s="94">
        <v>95.75021910604734</v>
      </c>
      <c r="I97" s="94">
        <v>97.4943032427695</v>
      </c>
      <c r="J97" s="94">
        <v>99.06397896581946</v>
      </c>
      <c r="K97" s="94">
        <v>99.5</v>
      </c>
      <c r="L97" s="94">
        <v>99.6</v>
      </c>
      <c r="M97" s="94">
        <v>101.1</v>
      </c>
      <c r="N97" s="94">
        <v>102.3</v>
      </c>
      <c r="O97" s="94">
        <v>104.4</v>
      </c>
      <c r="P97" s="94">
        <v>106.3</v>
      </c>
      <c r="Q97" s="94">
        <v>107.8</v>
      </c>
      <c r="R97" s="94">
        <v>109.5</v>
      </c>
      <c r="S97" s="94">
        <v>111.78</v>
      </c>
      <c r="T97" s="94">
        <v>113.19</v>
      </c>
      <c r="U97" s="94">
        <v>116.32</v>
      </c>
      <c r="V97" s="98">
        <v>117.1</v>
      </c>
      <c r="W97" s="98">
        <v>118.3</v>
      </c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</row>
    <row r="98" spans="1:34" ht="11.25">
      <c r="A98" s="47"/>
      <c r="B98" s="93" t="s">
        <v>64</v>
      </c>
      <c r="C98" s="94">
        <v>87.1</v>
      </c>
      <c r="D98" s="94">
        <v>89.89547038327527</v>
      </c>
      <c r="E98" s="94">
        <v>91.98606271777004</v>
      </c>
      <c r="F98" s="94">
        <v>93.6411149825784</v>
      </c>
      <c r="G98" s="94">
        <v>94.94773519163763</v>
      </c>
      <c r="H98" s="94">
        <v>96.51567944250871</v>
      </c>
      <c r="I98" s="94">
        <v>98.34494773519164</v>
      </c>
      <c r="J98" s="94">
        <v>99.39024390243902</v>
      </c>
      <c r="K98" s="94">
        <v>100</v>
      </c>
      <c r="L98" s="94">
        <v>100.5</v>
      </c>
      <c r="M98" s="94">
        <v>102.1</v>
      </c>
      <c r="N98" s="94">
        <v>103.7</v>
      </c>
      <c r="O98" s="94">
        <v>105.5</v>
      </c>
      <c r="P98" s="94">
        <v>107.5</v>
      </c>
      <c r="Q98" s="94">
        <v>109.3</v>
      </c>
      <c r="R98" s="94">
        <v>111.2</v>
      </c>
      <c r="S98" s="94">
        <v>113.1</v>
      </c>
      <c r="T98" s="94">
        <v>114.76</v>
      </c>
      <c r="U98" s="94">
        <v>117.97</v>
      </c>
      <c r="V98" s="94">
        <v>118</v>
      </c>
      <c r="W98" s="98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</row>
    <row r="99" spans="1:34" ht="11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</row>
    <row r="100" spans="1:34" ht="11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</row>
    <row r="101" spans="1:34" ht="12">
      <c r="A101" s="47"/>
      <c r="B101" s="89" t="s">
        <v>65</v>
      </c>
      <c r="C101" s="90"/>
      <c r="D101" s="90"/>
      <c r="E101" s="90"/>
      <c r="F101" s="90"/>
      <c r="G101" s="90"/>
      <c r="H101" s="90"/>
      <c r="I101" s="90"/>
      <c r="J101" s="90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</row>
    <row r="102" spans="1:34" ht="11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</row>
    <row r="103" spans="1:34" ht="11.25">
      <c r="A103" s="47"/>
      <c r="B103" s="47"/>
      <c r="C103" s="92">
        <v>1990</v>
      </c>
      <c r="D103" s="92">
        <v>1991</v>
      </c>
      <c r="E103" s="92">
        <v>1992</v>
      </c>
      <c r="F103" s="92">
        <v>1993</v>
      </c>
      <c r="G103" s="92">
        <v>1994</v>
      </c>
      <c r="H103" s="92">
        <v>1995</v>
      </c>
      <c r="I103" s="92">
        <v>1996</v>
      </c>
      <c r="J103" s="92">
        <v>1997</v>
      </c>
      <c r="K103" s="92">
        <v>1998</v>
      </c>
      <c r="L103" s="92">
        <v>1999</v>
      </c>
      <c r="M103" s="92">
        <v>2000</v>
      </c>
      <c r="N103" s="92">
        <v>2001</v>
      </c>
      <c r="O103" s="92">
        <v>2002</v>
      </c>
      <c r="P103" s="92">
        <v>2003</v>
      </c>
      <c r="Q103" s="92">
        <v>2004</v>
      </c>
      <c r="R103" s="92">
        <v>2005</v>
      </c>
      <c r="S103" s="92">
        <v>2006</v>
      </c>
      <c r="T103" s="92">
        <v>2007</v>
      </c>
      <c r="U103" s="92">
        <v>2008</v>
      </c>
      <c r="V103" s="99">
        <v>2009</v>
      </c>
      <c r="W103" s="99">
        <v>2010</v>
      </c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</row>
    <row r="104" spans="1:34" ht="11.25">
      <c r="A104" s="47"/>
      <c r="B104" s="93" t="s">
        <v>62</v>
      </c>
      <c r="C104" s="94">
        <v>85.0021682567216</v>
      </c>
      <c r="D104" s="94">
        <v>87.84995663486558</v>
      </c>
      <c r="E104" s="94">
        <v>90.17996530789246</v>
      </c>
      <c r="F104" s="94">
        <v>92.07849089332177</v>
      </c>
      <c r="G104" s="94">
        <v>93.80442324371205</v>
      </c>
      <c r="H104" s="94">
        <v>95.35776235906332</v>
      </c>
      <c r="I104" s="94">
        <v>97.25628794449263</v>
      </c>
      <c r="J104" s="94">
        <v>98.98222029488291</v>
      </c>
      <c r="K104" s="94">
        <v>99.5</v>
      </c>
      <c r="L104" s="94">
        <v>99.7</v>
      </c>
      <c r="M104" s="94">
        <v>101.3</v>
      </c>
      <c r="N104" s="94">
        <v>102.5</v>
      </c>
      <c r="O104" s="94">
        <v>104.8</v>
      </c>
      <c r="P104" s="94">
        <v>106.9</v>
      </c>
      <c r="Q104" s="94">
        <v>109</v>
      </c>
      <c r="R104" s="94">
        <v>110.7</v>
      </c>
      <c r="S104" s="94">
        <v>112.94</v>
      </c>
      <c r="T104" s="94">
        <v>114.34</v>
      </c>
      <c r="U104" s="94">
        <v>117.56</v>
      </c>
      <c r="V104" s="98">
        <v>118.4</v>
      </c>
      <c r="W104" s="98">
        <v>119.7</v>
      </c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</row>
    <row r="105" spans="1:34" ht="11.25">
      <c r="A105" s="47"/>
      <c r="B105" s="93" t="s">
        <v>64</v>
      </c>
      <c r="C105" s="94">
        <v>86.20689655172414</v>
      </c>
      <c r="D105" s="94">
        <v>88.96551724137932</v>
      </c>
      <c r="E105" s="94">
        <v>91.12068965517241</v>
      </c>
      <c r="F105" s="94">
        <v>93.01724137931035</v>
      </c>
      <c r="G105" s="94">
        <v>94.56896551724138</v>
      </c>
      <c r="H105" s="94">
        <v>96.20689655172414</v>
      </c>
      <c r="I105" s="94">
        <v>98.10344827586206</v>
      </c>
      <c r="J105" s="94">
        <v>99.3103448275862</v>
      </c>
      <c r="K105" s="94">
        <v>100</v>
      </c>
      <c r="L105" s="94">
        <v>100.5</v>
      </c>
      <c r="M105" s="94">
        <v>102.2</v>
      </c>
      <c r="N105" s="94">
        <v>103.9</v>
      </c>
      <c r="O105" s="94">
        <v>105.9</v>
      </c>
      <c r="P105" s="94">
        <v>108.1</v>
      </c>
      <c r="Q105" s="94">
        <v>110.4</v>
      </c>
      <c r="R105" s="94">
        <v>112.4</v>
      </c>
      <c r="S105" s="94">
        <v>114.24</v>
      </c>
      <c r="T105" s="94">
        <v>115.94</v>
      </c>
      <c r="U105" s="94">
        <v>119.2</v>
      </c>
      <c r="V105" s="98">
        <v>119.3</v>
      </c>
      <c r="W105" s="98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</row>
    <row r="106" spans="1:34" ht="11.25">
      <c r="A106" s="47"/>
      <c r="B106" s="95"/>
      <c r="C106" s="96"/>
      <c r="D106" s="96"/>
      <c r="E106" s="96"/>
      <c r="F106" s="96"/>
      <c r="G106" s="96"/>
      <c r="H106" s="96"/>
      <c r="I106" s="96"/>
      <c r="J106" s="96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</row>
    <row r="107" spans="1:34" ht="11.25">
      <c r="A107" s="47"/>
      <c r="B107" s="88" t="s">
        <v>66</v>
      </c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</row>
    <row r="108" spans="1:34" ht="11.25">
      <c r="A108" s="47"/>
      <c r="B108" s="88" t="s">
        <v>67</v>
      </c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</row>
    <row r="109" spans="1:34" ht="11.25">
      <c r="A109" s="47"/>
      <c r="B109" s="88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</row>
    <row r="110" spans="1:41" ht="11.25">
      <c r="A110" s="47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9"/>
      <c r="W110" s="49"/>
      <c r="X110" s="49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</row>
    <row r="111" spans="1:41" ht="14.25">
      <c r="A111" s="47"/>
      <c r="B111" s="76" t="s">
        <v>54</v>
      </c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9"/>
      <c r="W111" s="49"/>
      <c r="X111" s="49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</row>
    <row r="112" spans="1:41" ht="11.25">
      <c r="A112" s="47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9"/>
      <c r="W112" s="49"/>
      <c r="X112" s="49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</row>
    <row r="113" spans="1:41" ht="11.25">
      <c r="A113" s="50"/>
      <c r="B113" s="51"/>
      <c r="C113" s="52">
        <v>1980</v>
      </c>
      <c r="D113" s="52">
        <v>1981</v>
      </c>
      <c r="E113" s="52">
        <v>1982</v>
      </c>
      <c r="F113" s="52">
        <v>1983</v>
      </c>
      <c r="G113" s="52">
        <v>1984</v>
      </c>
      <c r="H113" s="52">
        <v>1985</v>
      </c>
      <c r="I113" s="52">
        <v>1986</v>
      </c>
      <c r="J113" s="52">
        <v>1987</v>
      </c>
      <c r="K113" s="52">
        <v>1988</v>
      </c>
      <c r="L113" s="52">
        <v>1989</v>
      </c>
      <c r="M113" s="52">
        <v>1990</v>
      </c>
      <c r="N113" s="52">
        <v>1991</v>
      </c>
      <c r="O113" s="52">
        <v>1992</v>
      </c>
      <c r="P113" s="52">
        <v>1993</v>
      </c>
      <c r="Q113" s="52">
        <v>1994</v>
      </c>
      <c r="R113" s="52">
        <v>1995</v>
      </c>
      <c r="S113" s="52">
        <v>1996</v>
      </c>
      <c r="T113" s="52">
        <v>1997</v>
      </c>
      <c r="U113" s="52">
        <v>1998</v>
      </c>
      <c r="V113" s="52">
        <v>1999</v>
      </c>
      <c r="W113" s="52">
        <v>2000</v>
      </c>
      <c r="X113" s="52">
        <v>2001</v>
      </c>
      <c r="Y113" s="52">
        <v>2002</v>
      </c>
      <c r="Z113" s="52">
        <v>2003</v>
      </c>
      <c r="AA113" s="52">
        <v>2004</v>
      </c>
      <c r="AB113" s="52">
        <v>2005</v>
      </c>
      <c r="AC113" s="52">
        <v>2006</v>
      </c>
      <c r="AD113" s="52">
        <v>2007</v>
      </c>
      <c r="AE113" s="52">
        <v>2008</v>
      </c>
      <c r="AF113" s="52">
        <v>2009</v>
      </c>
      <c r="AG113" s="52">
        <v>2010</v>
      </c>
      <c r="AH113" s="50"/>
      <c r="AI113" s="50"/>
      <c r="AJ113" s="50"/>
      <c r="AK113" s="50"/>
      <c r="AL113" s="50"/>
      <c r="AM113" s="50"/>
      <c r="AN113" s="50"/>
      <c r="AO113" s="50"/>
    </row>
    <row r="114" spans="1:41" ht="11.25">
      <c r="A114" s="50"/>
      <c r="B114" s="105" t="s">
        <v>71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50"/>
      <c r="AI114" s="50"/>
      <c r="AJ114" s="50"/>
      <c r="AK114" s="50"/>
      <c r="AL114" s="50"/>
      <c r="AM114" s="50"/>
      <c r="AN114" s="50"/>
      <c r="AO114" s="50"/>
    </row>
    <row r="115" spans="1:41" ht="11.25">
      <c r="A115" s="50"/>
      <c r="B115" s="101" t="s">
        <v>68</v>
      </c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50"/>
      <c r="AI115" s="50"/>
      <c r="AJ115" s="50"/>
      <c r="AK115" s="50"/>
      <c r="AL115" s="50"/>
      <c r="AM115" s="50"/>
      <c r="AN115" s="50"/>
      <c r="AO115" s="50"/>
    </row>
    <row r="116" spans="1:41" ht="11.25">
      <c r="A116" s="50"/>
      <c r="B116" s="18" t="s">
        <v>0</v>
      </c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60">
        <v>460.09</v>
      </c>
      <c r="AH116" s="50"/>
      <c r="AI116" s="50"/>
      <c r="AJ116" s="50"/>
      <c r="AK116" s="50"/>
      <c r="AL116" s="50"/>
      <c r="AM116" s="50"/>
      <c r="AN116" s="50"/>
      <c r="AO116" s="50"/>
    </row>
    <row r="117" spans="1:41" ht="11.25">
      <c r="A117" s="50"/>
      <c r="B117" s="18" t="s">
        <v>1</v>
      </c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57">
        <v>690.14</v>
      </c>
      <c r="AH117" s="50"/>
      <c r="AI117" s="50"/>
      <c r="AJ117" s="50"/>
      <c r="AK117" s="50"/>
      <c r="AL117" s="50"/>
      <c r="AM117" s="50"/>
      <c r="AN117" s="50"/>
      <c r="AO117" s="50"/>
    </row>
    <row r="118" spans="1:41" ht="11.25">
      <c r="A118" s="50"/>
      <c r="B118" s="18" t="s">
        <v>2</v>
      </c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57">
        <v>828.17</v>
      </c>
      <c r="AH118" s="50"/>
      <c r="AI118" s="50"/>
      <c r="AJ118" s="50"/>
      <c r="AK118" s="50"/>
      <c r="AL118" s="50"/>
      <c r="AM118" s="50"/>
      <c r="AN118" s="50"/>
      <c r="AO118" s="50"/>
    </row>
    <row r="119" spans="1:41" ht="11.25">
      <c r="A119" s="50"/>
      <c r="B119" s="21" t="s">
        <v>3</v>
      </c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57">
        <v>690.14</v>
      </c>
      <c r="AH119" s="50"/>
      <c r="AI119" s="50"/>
      <c r="AJ119" s="50"/>
      <c r="AK119" s="50"/>
      <c r="AL119" s="50"/>
      <c r="AM119" s="50"/>
      <c r="AN119" s="50"/>
      <c r="AO119" s="50"/>
    </row>
    <row r="120" spans="1:41" ht="11.25">
      <c r="A120" s="50"/>
      <c r="B120" s="21" t="s">
        <v>4</v>
      </c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57">
        <v>828.17</v>
      </c>
      <c r="AH120" s="50"/>
      <c r="AI120" s="50"/>
      <c r="AJ120" s="50"/>
      <c r="AK120" s="50"/>
      <c r="AL120" s="50"/>
      <c r="AM120" s="50"/>
      <c r="AN120" s="50"/>
      <c r="AO120" s="50"/>
    </row>
    <row r="121" spans="1:41" ht="11.25">
      <c r="A121" s="50"/>
      <c r="B121" s="21" t="s">
        <v>5</v>
      </c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57">
        <v>966.2</v>
      </c>
      <c r="AH121" s="50"/>
      <c r="AI121" s="50"/>
      <c r="AJ121" s="50"/>
      <c r="AK121" s="50"/>
      <c r="AL121" s="50"/>
      <c r="AM121" s="50"/>
      <c r="AN121" s="50"/>
      <c r="AO121" s="50"/>
    </row>
    <row r="122" spans="1:41" ht="11.25">
      <c r="A122" s="50"/>
      <c r="B122" s="102" t="s">
        <v>26</v>
      </c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62">
        <v>184.04</v>
      </c>
      <c r="AH122" s="50"/>
      <c r="AI122" s="50"/>
      <c r="AJ122" s="50"/>
      <c r="AK122" s="50"/>
      <c r="AL122" s="50"/>
      <c r="AM122" s="50"/>
      <c r="AN122" s="50"/>
      <c r="AO122" s="50"/>
    </row>
    <row r="123" spans="1:41" ht="11.25">
      <c r="A123" s="50"/>
      <c r="B123" s="101" t="s">
        <v>69</v>
      </c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50"/>
      <c r="AI123" s="50"/>
      <c r="AJ123" s="50"/>
      <c r="AK123" s="50"/>
      <c r="AL123" s="50"/>
      <c r="AM123" s="50"/>
      <c r="AN123" s="50"/>
      <c r="AO123" s="50"/>
    </row>
    <row r="124" spans="1:41" ht="11.25">
      <c r="A124" s="50"/>
      <c r="B124" s="21" t="s">
        <v>6</v>
      </c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60">
        <v>590.81</v>
      </c>
      <c r="AH124" s="50"/>
      <c r="AI124" s="50"/>
      <c r="AJ124" s="50"/>
      <c r="AK124" s="50"/>
      <c r="AL124" s="50"/>
      <c r="AM124" s="50"/>
      <c r="AN124" s="50"/>
      <c r="AO124" s="50"/>
    </row>
    <row r="125" spans="1:41" ht="11.25">
      <c r="A125" s="50"/>
      <c r="B125" s="21" t="s">
        <v>7</v>
      </c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57">
        <v>787.75</v>
      </c>
      <c r="AH125" s="50"/>
      <c r="AI125" s="50"/>
      <c r="AJ125" s="50"/>
      <c r="AK125" s="50"/>
      <c r="AL125" s="50"/>
      <c r="AM125" s="50"/>
      <c r="AN125" s="50"/>
      <c r="AO125" s="50"/>
    </row>
    <row r="126" spans="1:41" ht="11.25">
      <c r="A126" s="50"/>
      <c r="B126" s="40" t="s">
        <v>8</v>
      </c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62">
        <v>196.94</v>
      </c>
      <c r="AH126" s="50"/>
      <c r="AI126" s="50"/>
      <c r="AJ126" s="50"/>
      <c r="AK126" s="50"/>
      <c r="AL126" s="50"/>
      <c r="AM126" s="50"/>
      <c r="AN126" s="50"/>
      <c r="AO126" s="50"/>
    </row>
    <row r="127" spans="1:41" ht="11.25">
      <c r="A127" s="47"/>
      <c r="B127" s="53" t="s">
        <v>21</v>
      </c>
      <c r="C127" s="54"/>
      <c r="D127" s="54"/>
      <c r="E127" s="54"/>
      <c r="F127" s="54"/>
      <c r="G127" s="54"/>
      <c r="H127" s="54"/>
      <c r="I127" s="54"/>
      <c r="J127" s="54"/>
      <c r="K127" s="54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8"/>
      <c r="AD127" s="58"/>
      <c r="AE127" s="58"/>
      <c r="AF127" s="58"/>
      <c r="AG127" s="58"/>
      <c r="AH127" s="47"/>
      <c r="AI127" s="47"/>
      <c r="AJ127" s="47"/>
      <c r="AK127" s="47"/>
      <c r="AL127" s="47"/>
      <c r="AM127" s="47"/>
      <c r="AN127" s="47"/>
      <c r="AO127" s="47"/>
    </row>
    <row r="128" spans="1:41" ht="11.25">
      <c r="A128" s="47"/>
      <c r="B128" s="59" t="s">
        <v>0</v>
      </c>
      <c r="C128" s="54"/>
      <c r="D128" s="54"/>
      <c r="E128" s="54"/>
      <c r="F128" s="54"/>
      <c r="G128" s="54"/>
      <c r="H128" s="54"/>
      <c r="I128" s="54"/>
      <c r="J128" s="54"/>
      <c r="K128" s="54"/>
      <c r="L128" s="60">
        <v>304.89803447482075</v>
      </c>
      <c r="M128" s="60">
        <v>317.0939558538136</v>
      </c>
      <c r="N128" s="60">
        <v>327.15559099148265</v>
      </c>
      <c r="O128" s="60">
        <v>333.06908837012185</v>
      </c>
      <c r="P128" s="60">
        <v>343.47068481623035</v>
      </c>
      <c r="Q128" s="60">
        <v>350.34003753294803</v>
      </c>
      <c r="R128" s="60">
        <v>354.5445814283558</v>
      </c>
      <c r="S128" s="60">
        <v>361.99019143023094</v>
      </c>
      <c r="T128" s="60">
        <v>366.33346393132473</v>
      </c>
      <c r="U128" s="60">
        <v>370.36269145690954</v>
      </c>
      <c r="V128" s="60">
        <v>381.47317583317204</v>
      </c>
      <c r="W128" s="60">
        <v>389.1032491459044</v>
      </c>
      <c r="X128" s="60">
        <v>397.663261463785</v>
      </c>
      <c r="Y128" s="60">
        <v>405.62</v>
      </c>
      <c r="Z128" s="60">
        <v>411.7</v>
      </c>
      <c r="AA128" s="60">
        <v>417.88</v>
      </c>
      <c r="AB128" s="60">
        <v>425.4</v>
      </c>
      <c r="AC128" s="60">
        <v>433.06</v>
      </c>
      <c r="AD128" s="60">
        <v>440.86</v>
      </c>
      <c r="AE128" s="60">
        <v>447.91</v>
      </c>
      <c r="AF128" s="60">
        <v>454.63</v>
      </c>
      <c r="AG128" s="60">
        <v>460.09</v>
      </c>
      <c r="AH128" s="47"/>
      <c r="AI128" s="47"/>
      <c r="AJ128" s="47"/>
      <c r="AK128" s="47"/>
      <c r="AL128" s="47"/>
      <c r="AM128" s="47"/>
      <c r="AN128" s="47"/>
      <c r="AO128" s="47"/>
    </row>
    <row r="129" spans="1:41" ht="11.25">
      <c r="A129" s="47"/>
      <c r="B129" s="59" t="s">
        <v>1</v>
      </c>
      <c r="C129" s="54"/>
      <c r="D129" s="54"/>
      <c r="E129" s="54"/>
      <c r="F129" s="54"/>
      <c r="G129" s="54"/>
      <c r="H129" s="54"/>
      <c r="I129" s="54"/>
      <c r="J129" s="54"/>
      <c r="K129" s="54"/>
      <c r="L129" s="60">
        <v>457.3470517122311</v>
      </c>
      <c r="M129" s="60">
        <v>475.6409337807204</v>
      </c>
      <c r="N129" s="60">
        <v>490.73338648722404</v>
      </c>
      <c r="O129" s="60">
        <v>499.60363255518274</v>
      </c>
      <c r="P129" s="60">
        <v>515.2060272243456</v>
      </c>
      <c r="Q129" s="60">
        <v>525.5100562994221</v>
      </c>
      <c r="R129" s="60">
        <v>531.8168721425337</v>
      </c>
      <c r="S129" s="60">
        <v>542.9852871453464</v>
      </c>
      <c r="T129" s="60">
        <v>549.5001958969871</v>
      </c>
      <c r="U129" s="60">
        <v>555.5440371853643</v>
      </c>
      <c r="V129" s="60">
        <v>572.2097637497579</v>
      </c>
      <c r="W129" s="60">
        <v>583.6541114737704</v>
      </c>
      <c r="X129" s="60">
        <v>596.4948921956775</v>
      </c>
      <c r="Y129" s="57">
        <v>608.43</v>
      </c>
      <c r="Z129" s="57">
        <v>617.55</v>
      </c>
      <c r="AA129" s="57">
        <v>626.82</v>
      </c>
      <c r="AB129" s="57">
        <v>638.1</v>
      </c>
      <c r="AC129" s="57">
        <v>649.59</v>
      </c>
      <c r="AD129" s="57">
        <v>661.29</v>
      </c>
      <c r="AE129" s="57">
        <v>671.87</v>
      </c>
      <c r="AF129" s="57">
        <v>681.95</v>
      </c>
      <c r="AG129" s="57">
        <v>690.14</v>
      </c>
      <c r="AH129" s="47"/>
      <c r="AI129" s="47"/>
      <c r="AJ129" s="47"/>
      <c r="AK129" s="47"/>
      <c r="AL129" s="47"/>
      <c r="AM129" s="47"/>
      <c r="AN129" s="47"/>
      <c r="AO129" s="47"/>
    </row>
    <row r="130" spans="1:41" ht="11.25">
      <c r="A130" s="47"/>
      <c r="B130" s="59" t="s">
        <v>2</v>
      </c>
      <c r="C130" s="54"/>
      <c r="D130" s="54"/>
      <c r="E130" s="54"/>
      <c r="F130" s="54"/>
      <c r="G130" s="54"/>
      <c r="H130" s="54"/>
      <c r="I130" s="54"/>
      <c r="J130" s="54"/>
      <c r="K130" s="54"/>
      <c r="L130" s="60">
        <v>548.8164620546773</v>
      </c>
      <c r="M130" s="60">
        <v>570.7691205368644</v>
      </c>
      <c r="N130" s="60">
        <v>588.8800637846689</v>
      </c>
      <c r="O130" s="60">
        <v>599.5243590662193</v>
      </c>
      <c r="P130" s="60">
        <v>618.2472326692147</v>
      </c>
      <c r="Q130" s="60">
        <v>630.6120675593065</v>
      </c>
      <c r="R130" s="60">
        <v>638.1802465710405</v>
      </c>
      <c r="S130" s="60">
        <v>651.5823445744157</v>
      </c>
      <c r="T130" s="60">
        <v>659.4002350763845</v>
      </c>
      <c r="U130" s="60">
        <v>666.6528446224372</v>
      </c>
      <c r="V130" s="60">
        <v>686.6517164997097</v>
      </c>
      <c r="W130" s="60">
        <v>700.3858484626278</v>
      </c>
      <c r="X130" s="60">
        <v>715.793870634813</v>
      </c>
      <c r="Y130" s="57">
        <v>730.116</v>
      </c>
      <c r="Z130" s="57">
        <v>741.06</v>
      </c>
      <c r="AA130" s="57">
        <v>752.18</v>
      </c>
      <c r="AB130" s="57">
        <v>765.72</v>
      </c>
      <c r="AC130" s="57">
        <v>779.51</v>
      </c>
      <c r="AD130" s="57">
        <v>793.55</v>
      </c>
      <c r="AE130" s="57">
        <v>806.24</v>
      </c>
      <c r="AF130" s="57">
        <v>818.34</v>
      </c>
      <c r="AG130" s="57">
        <v>828.17</v>
      </c>
      <c r="AH130" s="47"/>
      <c r="AI130" s="47"/>
      <c r="AJ130" s="47"/>
      <c r="AK130" s="47"/>
      <c r="AL130" s="47"/>
      <c r="AM130" s="47"/>
      <c r="AN130" s="47"/>
      <c r="AO130" s="47"/>
    </row>
    <row r="131" spans="1:41" ht="11.25">
      <c r="A131" s="47"/>
      <c r="B131" s="61" t="s">
        <v>3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60">
        <v>457.3470517122311</v>
      </c>
      <c r="M131" s="60">
        <v>475.6409337807204</v>
      </c>
      <c r="N131" s="60">
        <v>490.73338648722404</v>
      </c>
      <c r="O131" s="60">
        <v>499.60363255518274</v>
      </c>
      <c r="P131" s="60">
        <v>515.2060272243456</v>
      </c>
      <c r="Q131" s="60">
        <v>525.5100562994221</v>
      </c>
      <c r="R131" s="60">
        <v>531.8168721425337</v>
      </c>
      <c r="S131" s="60">
        <v>542.9852871453464</v>
      </c>
      <c r="T131" s="60">
        <v>549.5001958969871</v>
      </c>
      <c r="U131" s="60">
        <v>555.5440371853643</v>
      </c>
      <c r="V131" s="60">
        <v>572.2097637497579</v>
      </c>
      <c r="W131" s="60">
        <v>583.6541114737704</v>
      </c>
      <c r="X131" s="60">
        <v>596.4948921956775</v>
      </c>
      <c r="Y131" s="57">
        <v>608.43</v>
      </c>
      <c r="Z131" s="57">
        <v>617.55</v>
      </c>
      <c r="AA131" s="57">
        <v>626.82</v>
      </c>
      <c r="AB131" s="57">
        <v>638.1</v>
      </c>
      <c r="AC131" s="57">
        <v>649.59</v>
      </c>
      <c r="AD131" s="57">
        <v>661.29</v>
      </c>
      <c r="AE131" s="57">
        <v>671.87</v>
      </c>
      <c r="AF131" s="57">
        <v>681.95</v>
      </c>
      <c r="AG131" s="57">
        <v>690.14</v>
      </c>
      <c r="AH131" s="47"/>
      <c r="AI131" s="47"/>
      <c r="AJ131" s="47"/>
      <c r="AK131" s="47"/>
      <c r="AL131" s="47"/>
      <c r="AM131" s="47"/>
      <c r="AN131" s="47"/>
      <c r="AO131" s="47"/>
    </row>
    <row r="132" spans="1:41" ht="11.25">
      <c r="A132" s="47"/>
      <c r="B132" s="61" t="s">
        <v>4</v>
      </c>
      <c r="C132" s="54"/>
      <c r="D132" s="54"/>
      <c r="E132" s="54"/>
      <c r="F132" s="54"/>
      <c r="G132" s="54"/>
      <c r="H132" s="54"/>
      <c r="I132" s="54"/>
      <c r="J132" s="54"/>
      <c r="K132" s="54"/>
      <c r="L132" s="60">
        <v>548.8164620546773</v>
      </c>
      <c r="M132" s="60">
        <v>570.7691205368644</v>
      </c>
      <c r="N132" s="60">
        <v>588.8800637846689</v>
      </c>
      <c r="O132" s="60">
        <v>599.5243590662193</v>
      </c>
      <c r="P132" s="60">
        <v>618.2472326692147</v>
      </c>
      <c r="Q132" s="60">
        <v>630.6120675593065</v>
      </c>
      <c r="R132" s="60">
        <v>638.1802465710405</v>
      </c>
      <c r="S132" s="60">
        <v>651.5823445744157</v>
      </c>
      <c r="T132" s="60">
        <v>659.4002350763845</v>
      </c>
      <c r="U132" s="60">
        <v>666.6528446224372</v>
      </c>
      <c r="V132" s="60">
        <v>686.6517164997097</v>
      </c>
      <c r="W132" s="60">
        <v>700.3858484626278</v>
      </c>
      <c r="X132" s="60">
        <v>715.793870634813</v>
      </c>
      <c r="Y132" s="57">
        <v>730.116</v>
      </c>
      <c r="Z132" s="57">
        <v>741.06</v>
      </c>
      <c r="AA132" s="57">
        <v>752.18</v>
      </c>
      <c r="AB132" s="57">
        <v>765.72</v>
      </c>
      <c r="AC132" s="57">
        <v>779.51</v>
      </c>
      <c r="AD132" s="57">
        <v>793.55</v>
      </c>
      <c r="AE132" s="57">
        <v>806.24</v>
      </c>
      <c r="AF132" s="57">
        <v>818.34</v>
      </c>
      <c r="AG132" s="57">
        <v>828.17</v>
      </c>
      <c r="AH132" s="47"/>
      <c r="AI132" s="47"/>
      <c r="AJ132" s="47"/>
      <c r="AK132" s="47"/>
      <c r="AL132" s="47"/>
      <c r="AM132" s="47"/>
      <c r="AN132" s="47"/>
      <c r="AO132" s="47"/>
    </row>
    <row r="133" spans="1:41" ht="11.25">
      <c r="A133" s="47"/>
      <c r="B133" s="61" t="s">
        <v>5</v>
      </c>
      <c r="C133" s="54"/>
      <c r="D133" s="54"/>
      <c r="E133" s="54"/>
      <c r="F133" s="54"/>
      <c r="G133" s="54"/>
      <c r="H133" s="54"/>
      <c r="I133" s="54"/>
      <c r="J133" s="54"/>
      <c r="K133" s="54"/>
      <c r="L133" s="60">
        <v>640.2858723971236</v>
      </c>
      <c r="M133" s="60">
        <v>665.8973072930086</v>
      </c>
      <c r="N133" s="60">
        <v>687.0267410821136</v>
      </c>
      <c r="O133" s="60">
        <v>699.4450855772559</v>
      </c>
      <c r="P133" s="60">
        <v>721.2884381140838</v>
      </c>
      <c r="Q133" s="60">
        <v>735.7140788191908</v>
      </c>
      <c r="R133" s="60">
        <v>744.5436209995472</v>
      </c>
      <c r="S133" s="60">
        <v>760.1794020034849</v>
      </c>
      <c r="T133" s="60">
        <v>769.3002742557819</v>
      </c>
      <c r="U133" s="60">
        <v>777.7616520595101</v>
      </c>
      <c r="V133" s="60">
        <v>801.0936692496612</v>
      </c>
      <c r="W133" s="60">
        <v>817.1168232063993</v>
      </c>
      <c r="X133" s="60">
        <v>835.0928490739485</v>
      </c>
      <c r="Y133" s="60">
        <v>851.802</v>
      </c>
      <c r="Z133" s="60">
        <v>864.57</v>
      </c>
      <c r="AA133" s="60">
        <v>877.54</v>
      </c>
      <c r="AB133" s="60">
        <v>893.34</v>
      </c>
      <c r="AC133" s="60">
        <v>909.43</v>
      </c>
      <c r="AD133" s="60">
        <v>925.81</v>
      </c>
      <c r="AE133" s="60">
        <v>940.62</v>
      </c>
      <c r="AF133" s="60">
        <v>954.72</v>
      </c>
      <c r="AG133" s="57">
        <v>966.2</v>
      </c>
      <c r="AH133" s="47"/>
      <c r="AI133" s="47"/>
      <c r="AJ133" s="47"/>
      <c r="AK133" s="47"/>
      <c r="AL133" s="47"/>
      <c r="AM133" s="47"/>
      <c r="AN133" s="47"/>
      <c r="AO133" s="47"/>
    </row>
    <row r="134" spans="1:41" ht="11.25">
      <c r="A134" s="47"/>
      <c r="B134" s="110" t="s">
        <v>26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62">
        <v>91.46941034244622</v>
      </c>
      <c r="M134" s="62">
        <v>95.12818675614407</v>
      </c>
      <c r="N134" s="62">
        <v>130.86223639659306</v>
      </c>
      <c r="O134" s="62">
        <v>133.22763534804875</v>
      </c>
      <c r="P134" s="62">
        <v>137.38827392649216</v>
      </c>
      <c r="Q134" s="62">
        <v>140.13601501317922</v>
      </c>
      <c r="R134" s="62">
        <v>141.81783257134234</v>
      </c>
      <c r="S134" s="62">
        <v>144.79607657209237</v>
      </c>
      <c r="T134" s="62">
        <v>146.5333855725299</v>
      </c>
      <c r="U134" s="62">
        <v>148.1450765827638</v>
      </c>
      <c r="V134" s="62">
        <v>152.5892703332688</v>
      </c>
      <c r="W134" s="62">
        <v>156.2510957273114</v>
      </c>
      <c r="X134" s="62">
        <v>159.065304585514</v>
      </c>
      <c r="Y134" s="62">
        <v>162.25</v>
      </c>
      <c r="Z134" s="62">
        <v>164.68</v>
      </c>
      <c r="AA134" s="62">
        <v>167.15</v>
      </c>
      <c r="AB134" s="62">
        <v>170.16</v>
      </c>
      <c r="AC134" s="62">
        <v>173.22</v>
      </c>
      <c r="AD134" s="62">
        <v>176.34</v>
      </c>
      <c r="AE134" s="62">
        <v>179.16</v>
      </c>
      <c r="AF134" s="62">
        <v>181.85</v>
      </c>
      <c r="AG134" s="62">
        <v>184.04</v>
      </c>
      <c r="AH134" s="47"/>
      <c r="AI134" s="47"/>
      <c r="AJ134" s="47"/>
      <c r="AK134" s="47"/>
      <c r="AL134" s="47"/>
      <c r="AM134" s="47"/>
      <c r="AN134" s="47"/>
      <c r="AO134" s="47"/>
    </row>
    <row r="135" spans="1:41" ht="11.25">
      <c r="A135" s="47"/>
      <c r="B135" s="64" t="s">
        <v>22</v>
      </c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47"/>
      <c r="AI135" s="47"/>
      <c r="AJ135" s="47"/>
      <c r="AK135" s="47"/>
      <c r="AL135" s="47"/>
      <c r="AM135" s="47"/>
      <c r="AN135" s="47"/>
      <c r="AO135" s="47"/>
    </row>
    <row r="136" spans="1:41" ht="11.25">
      <c r="A136" s="47"/>
      <c r="B136" s="61" t="s">
        <v>6</v>
      </c>
      <c r="C136" s="60">
        <v>217.01117603745368</v>
      </c>
      <c r="D136" s="60">
        <v>249.99656989711215</v>
      </c>
      <c r="E136" s="60">
        <v>284.92721321672</v>
      </c>
      <c r="F136" s="60">
        <v>325.17375376739636</v>
      </c>
      <c r="G136" s="60">
        <v>346.1568364999535</v>
      </c>
      <c r="H136" s="60">
        <v>366.33498842149714</v>
      </c>
      <c r="I136" s="60">
        <v>380.1849816375159</v>
      </c>
      <c r="J136" s="60">
        <v>384.93681750480596</v>
      </c>
      <c r="K136" s="60">
        <v>399.1267720292641</v>
      </c>
      <c r="L136" s="60">
        <v>409.2859745379651</v>
      </c>
      <c r="M136" s="60">
        <v>422.741124799339</v>
      </c>
      <c r="N136" s="60">
        <v>435.6992912645189</v>
      </c>
      <c r="O136" s="60">
        <v>443.4741911436268</v>
      </c>
      <c r="P136" s="60">
        <v>460.54848107421674</v>
      </c>
      <c r="Q136" s="60">
        <v>469.6954221084614</v>
      </c>
      <c r="R136" s="60">
        <v>475.33603574624556</v>
      </c>
      <c r="S136" s="60">
        <v>475.33603574624556</v>
      </c>
      <c r="T136" s="60">
        <v>482.19624152192904</v>
      </c>
      <c r="U136" s="60">
        <v>487.5319571252384</v>
      </c>
      <c r="V136" s="60">
        <v>490.88583550446145</v>
      </c>
      <c r="W136" s="60">
        <v>493.32501978026</v>
      </c>
      <c r="X136" s="60">
        <v>502.3195117972672</v>
      </c>
      <c r="Y136" s="60">
        <v>512.81</v>
      </c>
      <c r="Z136" s="60">
        <v>521.52</v>
      </c>
      <c r="AA136" s="60">
        <v>530.39</v>
      </c>
      <c r="AB136" s="60">
        <v>542.06</v>
      </c>
      <c r="AC136" s="60">
        <v>551.81</v>
      </c>
      <c r="AD136" s="60">
        <v>561.18</v>
      </c>
      <c r="AE136" s="60">
        <v>566.79</v>
      </c>
      <c r="AF136" s="60">
        <v>583.8</v>
      </c>
      <c r="AG136" s="60">
        <v>590.81</v>
      </c>
      <c r="AH136" s="47"/>
      <c r="AI136" s="47"/>
      <c r="AJ136" s="47"/>
      <c r="AK136" s="47"/>
      <c r="AL136" s="47"/>
      <c r="AM136" s="47"/>
      <c r="AN136" s="47"/>
      <c r="AO136" s="47"/>
    </row>
    <row r="137" spans="1:41" ht="11.25">
      <c r="A137" s="47"/>
      <c r="B137" s="61" t="s">
        <v>7</v>
      </c>
      <c r="C137" s="60">
        <v>289.3482347166049</v>
      </c>
      <c r="D137" s="60">
        <v>333.3297761895978</v>
      </c>
      <c r="E137" s="60">
        <v>379.9029509556267</v>
      </c>
      <c r="F137" s="60">
        <v>433.5650050231951</v>
      </c>
      <c r="G137" s="60">
        <v>461.5424486666047</v>
      </c>
      <c r="H137" s="60">
        <v>488.44665122866286</v>
      </c>
      <c r="I137" s="60">
        <v>506.91330885002117</v>
      </c>
      <c r="J137" s="60">
        <v>513.2490900064079</v>
      </c>
      <c r="K137" s="60">
        <v>532.1690293723522</v>
      </c>
      <c r="L137" s="60">
        <v>545.7146327172868</v>
      </c>
      <c r="M137" s="60">
        <v>563.6040167267062</v>
      </c>
      <c r="N137" s="60">
        <v>580.983204691771</v>
      </c>
      <c r="O137" s="60">
        <v>591.3497378639149</v>
      </c>
      <c r="P137" s="60">
        <v>614.064641432289</v>
      </c>
      <c r="Q137" s="60">
        <v>626.2605628112818</v>
      </c>
      <c r="R137" s="60">
        <v>633.7305646559149</v>
      </c>
      <c r="S137" s="60">
        <v>633.7305646559149</v>
      </c>
      <c r="T137" s="60">
        <v>642.8775056901595</v>
      </c>
      <c r="U137" s="60">
        <v>650.0426095003179</v>
      </c>
      <c r="V137" s="60">
        <v>654.4636310002028</v>
      </c>
      <c r="W137" s="60">
        <v>657.8175093794258</v>
      </c>
      <c r="X137" s="60">
        <v>669.7085327239438</v>
      </c>
      <c r="Y137" s="60">
        <v>683.75</v>
      </c>
      <c r="Z137" s="60">
        <v>695.36</v>
      </c>
      <c r="AA137" s="60">
        <v>707.19</v>
      </c>
      <c r="AB137" s="60">
        <v>722.75</v>
      </c>
      <c r="AC137" s="60">
        <v>735.75</v>
      </c>
      <c r="AD137" s="60">
        <v>748.24</v>
      </c>
      <c r="AE137" s="60">
        <v>755.72</v>
      </c>
      <c r="AF137" s="60">
        <v>778.4</v>
      </c>
      <c r="AG137" s="57">
        <v>787.75</v>
      </c>
      <c r="AH137" s="47"/>
      <c r="AI137" s="47"/>
      <c r="AJ137" s="47"/>
      <c r="AK137" s="47"/>
      <c r="AL137" s="47"/>
      <c r="AM137" s="47"/>
      <c r="AN137" s="47"/>
      <c r="AO137" s="47"/>
    </row>
    <row r="138" spans="1:41" ht="11.25">
      <c r="A138" s="47"/>
      <c r="B138" s="61" t="s">
        <v>8</v>
      </c>
      <c r="C138" s="60">
        <v>72.33705867915123</v>
      </c>
      <c r="D138" s="60">
        <v>83.33218996570406</v>
      </c>
      <c r="E138" s="60">
        <v>94.97573773890667</v>
      </c>
      <c r="F138" s="60">
        <v>108.39125125579878</v>
      </c>
      <c r="G138" s="60">
        <v>115.38561216665117</v>
      </c>
      <c r="H138" s="60">
        <v>122.11166280716571</v>
      </c>
      <c r="I138" s="60">
        <v>126.72832721250529</v>
      </c>
      <c r="J138" s="60">
        <v>128.31227250160197</v>
      </c>
      <c r="K138" s="60">
        <v>133.04225734308804</v>
      </c>
      <c r="L138" s="60">
        <v>136.4286581793217</v>
      </c>
      <c r="M138" s="60">
        <v>140.8628919273672</v>
      </c>
      <c r="N138" s="60">
        <v>145.2839134272521</v>
      </c>
      <c r="O138" s="60">
        <v>147.87554672028807</v>
      </c>
      <c r="P138" s="60">
        <v>153.51616035807226</v>
      </c>
      <c r="Q138" s="60">
        <v>156.56514070282046</v>
      </c>
      <c r="R138" s="60">
        <v>158.3945289096694</v>
      </c>
      <c r="S138" s="60">
        <v>158.3945289096694</v>
      </c>
      <c r="T138" s="60">
        <v>160.68126416823054</v>
      </c>
      <c r="U138" s="60">
        <v>162.51065237507947</v>
      </c>
      <c r="V138" s="60">
        <v>163.57779549574133</v>
      </c>
      <c r="W138" s="60">
        <v>164.4924895991658</v>
      </c>
      <c r="X138" s="60">
        <v>167.3890209266766</v>
      </c>
      <c r="Y138" s="60">
        <v>170.94</v>
      </c>
      <c r="Z138" s="60">
        <v>173.84</v>
      </c>
      <c r="AA138" s="60">
        <v>176.8</v>
      </c>
      <c r="AB138" s="60">
        <v>180.69</v>
      </c>
      <c r="AC138" s="60">
        <v>183.94</v>
      </c>
      <c r="AD138" s="60">
        <v>187.06</v>
      </c>
      <c r="AE138" s="60">
        <v>188.93</v>
      </c>
      <c r="AF138" s="60">
        <v>194.6</v>
      </c>
      <c r="AG138" s="62">
        <v>196.94</v>
      </c>
      <c r="AH138" s="47"/>
      <c r="AI138" s="47"/>
      <c r="AJ138" s="47"/>
      <c r="AK138" s="47"/>
      <c r="AL138" s="47"/>
      <c r="AM138" s="47"/>
      <c r="AN138" s="47"/>
      <c r="AO138" s="47"/>
    </row>
    <row r="139" spans="1:41" ht="11.25">
      <c r="A139" s="47"/>
      <c r="B139" s="63" t="s">
        <v>17</v>
      </c>
      <c r="C139" s="6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47"/>
      <c r="AI139" s="47"/>
      <c r="AJ139" s="47"/>
      <c r="AK139" s="47"/>
      <c r="AL139" s="47"/>
      <c r="AM139" s="47"/>
      <c r="AN139" s="47"/>
      <c r="AO139" s="47"/>
    </row>
    <row r="140" spans="1:41" ht="11.25">
      <c r="A140" s="47"/>
      <c r="B140" s="61" t="s">
        <v>9</v>
      </c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7">
        <v>726.7244651707352</v>
      </c>
      <c r="N140" s="57">
        <v>742.7316119806634</v>
      </c>
      <c r="O140" s="57">
        <v>759.8059019112534</v>
      </c>
      <c r="P140" s="57">
        <v>778.0997839797426</v>
      </c>
      <c r="Q140" s="57">
        <v>778.0997839797426</v>
      </c>
      <c r="R140" s="57">
        <v>789.8383583070232</v>
      </c>
      <c r="S140" s="57">
        <v>789.8383583070232</v>
      </c>
      <c r="T140" s="57">
        <v>789.8383583070232</v>
      </c>
      <c r="U140" s="57">
        <v>853.8669455467356</v>
      </c>
      <c r="V140" s="57">
        <v>879.5393600495154</v>
      </c>
      <c r="W140" s="57">
        <v>897.1472215404362</v>
      </c>
      <c r="X140" s="57">
        <v>916.7826549606148</v>
      </c>
      <c r="Y140" s="57">
        <v>935.2</v>
      </c>
      <c r="Z140" s="57">
        <v>949.2</v>
      </c>
      <c r="AA140" s="57">
        <v>963.2</v>
      </c>
      <c r="AB140" s="57">
        <v>980</v>
      </c>
      <c r="AC140" s="57">
        <v>997.5</v>
      </c>
      <c r="AD140" s="57">
        <v>1015.7</v>
      </c>
      <c r="AE140" s="57">
        <v>1031.8</v>
      </c>
      <c r="AF140" s="57">
        <v>1047.2</v>
      </c>
      <c r="AG140" s="57">
        <v>1059.8</v>
      </c>
      <c r="AH140" s="47"/>
      <c r="AI140" s="47"/>
      <c r="AJ140" s="47"/>
      <c r="AK140" s="47"/>
      <c r="AL140" s="47"/>
      <c r="AM140" s="47"/>
      <c r="AN140" s="47"/>
      <c r="AO140" s="47"/>
    </row>
    <row r="141" spans="1:41" ht="11.25">
      <c r="A141" s="47"/>
      <c r="B141" s="61" t="s">
        <v>10</v>
      </c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7">
        <v>1453.4489303414705</v>
      </c>
      <c r="N141" s="57">
        <v>1485.4632239613268</v>
      </c>
      <c r="O141" s="57">
        <v>1519.6118038225068</v>
      </c>
      <c r="P141" s="57">
        <v>1556.3520169767226</v>
      </c>
      <c r="Q141" s="57">
        <v>1556.3520169767226</v>
      </c>
      <c r="R141" s="57">
        <v>1579.524267596809</v>
      </c>
      <c r="S141" s="57">
        <v>1579.524267596809</v>
      </c>
      <c r="T141" s="57">
        <v>1241.0874493297579</v>
      </c>
      <c r="U141" s="57">
        <v>1341.8562497236862</v>
      </c>
      <c r="V141" s="57">
        <v>1382.13328007781</v>
      </c>
      <c r="W141" s="57">
        <v>1409.8027767064</v>
      </c>
      <c r="X141" s="57">
        <v>1440.658457795252</v>
      </c>
      <c r="Y141" s="57">
        <v>1469.6</v>
      </c>
      <c r="Z141" s="57">
        <v>1491.6</v>
      </c>
      <c r="AA141" s="57">
        <v>1513.6</v>
      </c>
      <c r="AB141" s="57">
        <v>1540</v>
      </c>
      <c r="AC141" s="57">
        <v>1567.5</v>
      </c>
      <c r="AD141" s="57">
        <v>1596.1</v>
      </c>
      <c r="AE141" s="57">
        <v>1621.4</v>
      </c>
      <c r="AF141" s="57">
        <v>1645.6</v>
      </c>
      <c r="AG141" s="57">
        <v>1665.4</v>
      </c>
      <c r="AH141" s="47"/>
      <c r="AI141" s="47"/>
      <c r="AJ141" s="47"/>
      <c r="AK141" s="47"/>
      <c r="AL141" s="47"/>
      <c r="AM141" s="47"/>
      <c r="AN141" s="47"/>
      <c r="AO141" s="47"/>
    </row>
    <row r="142" spans="1:41" ht="11.25">
      <c r="A142" s="47"/>
      <c r="B142" s="63" t="s">
        <v>50</v>
      </c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47"/>
      <c r="AI142" s="47"/>
      <c r="AJ142" s="47"/>
      <c r="AK142" s="47"/>
      <c r="AL142" s="47"/>
      <c r="AM142" s="47"/>
      <c r="AN142" s="47"/>
      <c r="AO142" s="47"/>
    </row>
    <row r="143" spans="1:41" ht="11.25">
      <c r="A143" s="47"/>
      <c r="B143" s="61" t="s">
        <v>9</v>
      </c>
      <c r="C143" s="54"/>
      <c r="D143" s="54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>
        <v>1404.48</v>
      </c>
      <c r="AA143" s="60">
        <v>1425.6</v>
      </c>
      <c r="AB143" s="60">
        <v>1451.04</v>
      </c>
      <c r="AC143" s="60">
        <v>1476.96</v>
      </c>
      <c r="AD143" s="60">
        <v>1503.36</v>
      </c>
      <c r="AE143" s="60">
        <v>1527.36</v>
      </c>
      <c r="AF143" s="60">
        <v>1550.4</v>
      </c>
      <c r="AG143" s="60">
        <v>1569.12</v>
      </c>
      <c r="AH143" s="47"/>
      <c r="AI143" s="47"/>
      <c r="AJ143" s="47"/>
      <c r="AK143" s="47"/>
      <c r="AL143" s="47"/>
      <c r="AM143" s="47"/>
      <c r="AN143" s="47"/>
      <c r="AO143" s="47"/>
    </row>
    <row r="144" spans="1:41" ht="11.25">
      <c r="A144" s="47"/>
      <c r="B144" s="61" t="s">
        <v>10</v>
      </c>
      <c r="C144" s="54"/>
      <c r="D144" s="54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>
        <v>2018.94</v>
      </c>
      <c r="AA144" s="60">
        <v>2049.3</v>
      </c>
      <c r="AB144" s="60">
        <v>2085.87</v>
      </c>
      <c r="AC144" s="60">
        <v>2123.13</v>
      </c>
      <c r="AD144" s="60">
        <v>2161.08</v>
      </c>
      <c r="AE144" s="60">
        <v>2195.58</v>
      </c>
      <c r="AF144" s="60">
        <v>2228.7</v>
      </c>
      <c r="AG144" s="60">
        <v>2255.61</v>
      </c>
      <c r="AH144" s="47"/>
      <c r="AI144" s="47"/>
      <c r="AJ144" s="47"/>
      <c r="AK144" s="47"/>
      <c r="AL144" s="47"/>
      <c r="AM144" s="47"/>
      <c r="AN144" s="47"/>
      <c r="AO144" s="47"/>
    </row>
    <row r="145" spans="1:41" ht="11.25">
      <c r="A145" s="47"/>
      <c r="B145" s="66" t="s">
        <v>51</v>
      </c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47"/>
      <c r="AI145" s="47"/>
      <c r="AJ145" s="47"/>
      <c r="AK145" s="47"/>
      <c r="AL145" s="47"/>
      <c r="AM145" s="47"/>
      <c r="AN145" s="47"/>
      <c r="AO145" s="47"/>
    </row>
    <row r="146" spans="1:41" ht="11.25">
      <c r="A146" s="47"/>
      <c r="B146" s="67" t="s">
        <v>33</v>
      </c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47"/>
      <c r="AI146" s="47"/>
      <c r="AJ146" s="47"/>
      <c r="AK146" s="47"/>
      <c r="AL146" s="47"/>
      <c r="AM146" s="47"/>
      <c r="AN146" s="47"/>
      <c r="AO146" s="47"/>
    </row>
    <row r="147" spans="1:41" ht="11.25">
      <c r="A147" s="47"/>
      <c r="B147" s="68" t="s">
        <v>27</v>
      </c>
      <c r="C147" s="57"/>
      <c r="D147" s="57"/>
      <c r="E147" s="57"/>
      <c r="F147" s="57"/>
      <c r="G147" s="57"/>
      <c r="H147" s="57"/>
      <c r="I147" s="57">
        <v>599.581984794735</v>
      </c>
      <c r="J147" s="57">
        <v>599.581984794735</v>
      </c>
      <c r="K147" s="57">
        <v>599.581984794735</v>
      </c>
      <c r="L147" s="57">
        <v>599.581984794735</v>
      </c>
      <c r="M147" s="57">
        <v>599.581984794735</v>
      </c>
      <c r="N147" s="57">
        <v>599.581984794735</v>
      </c>
      <c r="O147" s="57">
        <v>599.581984794735</v>
      </c>
      <c r="P147" s="57">
        <v>599.581984794735</v>
      </c>
      <c r="Q147" s="57">
        <v>599.581984794735</v>
      </c>
      <c r="R147" s="57">
        <v>599.581984794735</v>
      </c>
      <c r="S147" s="57">
        <v>599.581984794735</v>
      </c>
      <c r="T147" s="57">
        <v>599.581984794735</v>
      </c>
      <c r="U147" s="57">
        <v>773.3738644453829</v>
      </c>
      <c r="V147" s="57">
        <v>796.6070946723642</v>
      </c>
      <c r="W147" s="57">
        <f>59.22/6.55957*90</f>
        <v>812.5227720719498</v>
      </c>
      <c r="X147" s="57">
        <f>60.52/6.55957*90</f>
        <v>830.3593070887268</v>
      </c>
      <c r="Y147" s="57">
        <f>9.41*90</f>
        <v>846.9</v>
      </c>
      <c r="Z147" s="57">
        <f>9.55*90</f>
        <v>859.5000000000001</v>
      </c>
      <c r="AA147" s="57">
        <f>9.69*90</f>
        <v>872.0999999999999</v>
      </c>
      <c r="AB147" s="57">
        <f>9.86*90</f>
        <v>887.4</v>
      </c>
      <c r="AC147" s="57">
        <f>10.04*90</f>
        <v>903.5999999999999</v>
      </c>
      <c r="AD147" s="191" t="s">
        <v>34</v>
      </c>
      <c r="AE147" s="191" t="s">
        <v>34</v>
      </c>
      <c r="AF147" s="191" t="s">
        <v>34</v>
      </c>
      <c r="AG147" s="188" t="s">
        <v>37</v>
      </c>
      <c r="AH147" s="47"/>
      <c r="AI147" s="47"/>
      <c r="AJ147" s="47"/>
      <c r="AK147" s="47"/>
      <c r="AL147" s="47"/>
      <c r="AM147" s="47"/>
      <c r="AN147" s="47"/>
      <c r="AO147" s="47"/>
    </row>
    <row r="148" spans="1:41" ht="11.25">
      <c r="A148" s="47"/>
      <c r="B148" s="69" t="s">
        <v>28</v>
      </c>
      <c r="C148" s="57"/>
      <c r="D148" s="57"/>
      <c r="E148" s="57"/>
      <c r="F148" s="57"/>
      <c r="G148" s="57"/>
      <c r="H148" s="57"/>
      <c r="I148" s="57">
        <f aca="true" t="shared" si="1" ref="I148:V148">I147*2</f>
        <v>1199.16396958947</v>
      </c>
      <c r="J148" s="57">
        <f t="shared" si="1"/>
        <v>1199.16396958947</v>
      </c>
      <c r="K148" s="57">
        <f t="shared" si="1"/>
        <v>1199.16396958947</v>
      </c>
      <c r="L148" s="57">
        <f t="shared" si="1"/>
        <v>1199.16396958947</v>
      </c>
      <c r="M148" s="57">
        <f t="shared" si="1"/>
        <v>1199.16396958947</v>
      </c>
      <c r="N148" s="57">
        <f t="shared" si="1"/>
        <v>1199.16396958947</v>
      </c>
      <c r="O148" s="57">
        <f t="shared" si="1"/>
        <v>1199.16396958947</v>
      </c>
      <c r="P148" s="57">
        <f t="shared" si="1"/>
        <v>1199.16396958947</v>
      </c>
      <c r="Q148" s="57">
        <f t="shared" si="1"/>
        <v>1199.16396958947</v>
      </c>
      <c r="R148" s="57">
        <f t="shared" si="1"/>
        <v>1199.16396958947</v>
      </c>
      <c r="S148" s="57">
        <f t="shared" si="1"/>
        <v>1199.16396958947</v>
      </c>
      <c r="T148" s="57">
        <f t="shared" si="1"/>
        <v>1199.16396958947</v>
      </c>
      <c r="U148" s="57">
        <f t="shared" si="1"/>
        <v>1546.7477288907658</v>
      </c>
      <c r="V148" s="57">
        <f t="shared" si="1"/>
        <v>1593.2141893447283</v>
      </c>
      <c r="W148" s="57">
        <f>59.22/6.55957*180</f>
        <v>1625.0455441438996</v>
      </c>
      <c r="X148" s="57">
        <f>60.52/6.55957*180</f>
        <v>1660.7186141774537</v>
      </c>
      <c r="Y148" s="57">
        <f>9.41*180</f>
        <v>1693.8</v>
      </c>
      <c r="Z148" s="57">
        <f>9.55*180</f>
        <v>1719.0000000000002</v>
      </c>
      <c r="AA148" s="57">
        <f>9.69*180</f>
        <v>1744.1999999999998</v>
      </c>
      <c r="AB148" s="57">
        <f>9.86*180</f>
        <v>1774.8</v>
      </c>
      <c r="AC148" s="57">
        <f>10.04*180</f>
        <v>1807.1999999999998</v>
      </c>
      <c r="AD148" s="192"/>
      <c r="AE148" s="192"/>
      <c r="AF148" s="192"/>
      <c r="AG148" s="189"/>
      <c r="AH148" s="47"/>
      <c r="AI148" s="47"/>
      <c r="AJ148" s="47"/>
      <c r="AK148" s="47"/>
      <c r="AL148" s="47"/>
      <c r="AM148" s="47"/>
      <c r="AN148" s="47"/>
      <c r="AO148" s="47"/>
    </row>
    <row r="149" spans="1:41" ht="11.25">
      <c r="A149" s="47"/>
      <c r="B149" s="63" t="s">
        <v>19</v>
      </c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47"/>
      <c r="AI149" s="47"/>
      <c r="AJ149" s="47"/>
      <c r="AK149" s="47"/>
      <c r="AL149" s="47"/>
      <c r="AM149" s="47"/>
      <c r="AN149" s="47"/>
      <c r="AO149" s="47"/>
    </row>
    <row r="150" spans="1:41" ht="11.25">
      <c r="A150" s="47"/>
      <c r="B150" s="59" t="s">
        <v>11</v>
      </c>
      <c r="C150" s="57"/>
      <c r="D150" s="57">
        <v>186.75004611582773</v>
      </c>
      <c r="E150" s="57">
        <v>209.61739870143927</v>
      </c>
      <c r="F150" s="57">
        <v>270.59700559640345</v>
      </c>
      <c r="G150" s="57">
        <v>335.3878379223028</v>
      </c>
      <c r="H150" s="57">
        <v>361.6090688871374</v>
      </c>
      <c r="I150" s="57">
        <v>375.48192945574175</v>
      </c>
      <c r="J150" s="57">
        <v>398.50173105859074</v>
      </c>
      <c r="K150" s="57">
        <v>403.6849976446627</v>
      </c>
      <c r="L150" s="57">
        <v>416.6431641098426</v>
      </c>
      <c r="M150" s="57">
        <v>432.6503109197707</v>
      </c>
      <c r="N150" s="57">
        <v>443.3217421263894</v>
      </c>
      <c r="O150" s="57">
        <v>457.9568477811808</v>
      </c>
      <c r="P150" s="57">
        <v>469.542973091224</v>
      </c>
      <c r="Q150" s="57">
        <v>482.50113955640387</v>
      </c>
      <c r="R150" s="57">
        <v>488.9039982803751</v>
      </c>
      <c r="S150" s="57">
        <v>498.6607353835694</v>
      </c>
      <c r="T150" s="57">
        <v>518.7840056589075</v>
      </c>
      <c r="U150" s="57">
        <v>529.6078858827636</v>
      </c>
      <c r="V150" s="57">
        <v>536.0234486915047</v>
      </c>
      <c r="W150" s="57">
        <v>541.9308481094544</v>
      </c>
      <c r="X150" s="57">
        <v>552.78013650285</v>
      </c>
      <c r="Y150" s="60">
        <f>6699.68/12</f>
        <v>558.3066666666667</v>
      </c>
      <c r="Z150" s="60">
        <f>6847.1/12</f>
        <v>570.5916666666667</v>
      </c>
      <c r="AA150" s="60">
        <f>6997.74/12</f>
        <v>583.145</v>
      </c>
      <c r="AB150" s="60">
        <f>7102.71/12</f>
        <v>591.8925</v>
      </c>
      <c r="AC150" s="60">
        <f>7323.36/12</f>
        <v>610.28</v>
      </c>
      <c r="AD150" s="60">
        <f>7455.24/12</f>
        <v>621.27</v>
      </c>
      <c r="AE150" s="60">
        <f>7537.2/12</f>
        <v>628.1</v>
      </c>
      <c r="AF150" s="60">
        <f>7831.2/12</f>
        <v>652.6</v>
      </c>
      <c r="AG150" s="60">
        <f>8179.56/12</f>
        <v>681.63</v>
      </c>
      <c r="AH150" s="47"/>
      <c r="AI150" s="47"/>
      <c r="AJ150" s="47"/>
      <c r="AK150" s="47"/>
      <c r="AL150" s="47"/>
      <c r="AM150" s="47"/>
      <c r="AN150" s="47"/>
      <c r="AO150" s="47"/>
    </row>
    <row r="151" spans="1:41" ht="11.25">
      <c r="A151" s="47"/>
      <c r="B151" s="59" t="s">
        <v>52</v>
      </c>
      <c r="C151" s="57"/>
      <c r="D151" s="57">
        <f aca="true" t="shared" si="2" ref="D151:V151">D150*2</f>
        <v>373.50009223165546</v>
      </c>
      <c r="E151" s="57">
        <f t="shared" si="2"/>
        <v>419.23479740287854</v>
      </c>
      <c r="F151" s="57">
        <f t="shared" si="2"/>
        <v>541.1940111928069</v>
      </c>
      <c r="G151" s="57">
        <f t="shared" si="2"/>
        <v>670.7756758446056</v>
      </c>
      <c r="H151" s="57">
        <f t="shared" si="2"/>
        <v>723.2181377742749</v>
      </c>
      <c r="I151" s="57">
        <f t="shared" si="2"/>
        <v>750.9638589114835</v>
      </c>
      <c r="J151" s="57">
        <f t="shared" si="2"/>
        <v>797.0034621171815</v>
      </c>
      <c r="K151" s="57">
        <f t="shared" si="2"/>
        <v>807.3699952893254</v>
      </c>
      <c r="L151" s="57">
        <f t="shared" si="2"/>
        <v>833.2863282196852</v>
      </c>
      <c r="M151" s="57">
        <f t="shared" si="2"/>
        <v>865.3006218395413</v>
      </c>
      <c r="N151" s="57">
        <f t="shared" si="2"/>
        <v>886.6434842527788</v>
      </c>
      <c r="O151" s="57">
        <f t="shared" si="2"/>
        <v>915.9136955623616</v>
      </c>
      <c r="P151" s="57">
        <f t="shared" si="2"/>
        <v>939.085946182448</v>
      </c>
      <c r="Q151" s="57">
        <f t="shared" si="2"/>
        <v>965.0022791128077</v>
      </c>
      <c r="R151" s="57">
        <f t="shared" si="2"/>
        <v>977.8079965607502</v>
      </c>
      <c r="S151" s="57">
        <f t="shared" si="2"/>
        <v>997.3214707671387</v>
      </c>
      <c r="T151" s="57">
        <f t="shared" si="2"/>
        <v>1037.568011317815</v>
      </c>
      <c r="U151" s="57">
        <f t="shared" si="2"/>
        <v>1059.2157717655273</v>
      </c>
      <c r="V151" s="57">
        <f t="shared" si="2"/>
        <v>1072.0468973830093</v>
      </c>
      <c r="W151" s="60">
        <f>85316/12/6.55957</f>
        <v>1083.8616962189087</v>
      </c>
      <c r="X151" s="60">
        <f>87024/12/6.55957</f>
        <v>1105.5602730057</v>
      </c>
      <c r="Y151" s="60">
        <f>13399.36/12</f>
        <v>1116.6133333333335</v>
      </c>
      <c r="Z151" s="60">
        <f>13694.2/12</f>
        <v>1141.1833333333334</v>
      </c>
      <c r="AA151" s="60">
        <f>13995.48/12</f>
        <v>1166.29</v>
      </c>
      <c r="AB151" s="60">
        <f>14205.42/12</f>
        <v>1183.785</v>
      </c>
      <c r="AC151" s="60">
        <f>14646.72/12</f>
        <v>1220.56</v>
      </c>
      <c r="AD151" s="60">
        <f>14910.48/12</f>
        <v>1242.54</v>
      </c>
      <c r="AE151" s="60">
        <f>15074.4/12</f>
        <v>1256.2</v>
      </c>
      <c r="AF151" s="60">
        <f>15662.4/12</f>
        <v>1305.2</v>
      </c>
      <c r="AG151" s="60">
        <f>16359.12/12</f>
        <v>1363.26</v>
      </c>
      <c r="AH151" s="47"/>
      <c r="AI151" s="47"/>
      <c r="AJ151" s="47"/>
      <c r="AK151" s="47"/>
      <c r="AL151" s="47"/>
      <c r="AM151" s="47"/>
      <c r="AN151" s="47"/>
      <c r="AO151" s="47"/>
    </row>
    <row r="152" spans="1:41" ht="11.25">
      <c r="A152" s="70"/>
      <c r="B152" s="71" t="s">
        <v>53</v>
      </c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56"/>
      <c r="X152" s="56"/>
      <c r="Y152" s="55"/>
      <c r="Z152" s="55"/>
      <c r="AA152" s="55"/>
      <c r="AB152" s="55"/>
      <c r="AC152" s="55"/>
      <c r="AD152" s="55"/>
      <c r="AE152" s="55"/>
      <c r="AF152" s="55"/>
      <c r="AG152" s="55"/>
      <c r="AH152" s="70"/>
      <c r="AI152" s="70"/>
      <c r="AJ152" s="70"/>
      <c r="AK152" s="70"/>
      <c r="AL152" s="70"/>
      <c r="AM152" s="70"/>
      <c r="AN152" s="70"/>
      <c r="AO152" s="70"/>
    </row>
    <row r="153" spans="1:41" ht="11.25">
      <c r="A153" s="47"/>
      <c r="B153" s="53" t="s">
        <v>25</v>
      </c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47"/>
      <c r="AI153" s="47"/>
      <c r="AJ153" s="47"/>
      <c r="AK153" s="47"/>
      <c r="AL153" s="47"/>
      <c r="AM153" s="47"/>
      <c r="AN153" s="47"/>
      <c r="AO153" s="47"/>
    </row>
    <row r="154" spans="1:41" ht="11.25">
      <c r="A154" s="47"/>
      <c r="B154" s="72" t="s">
        <v>11</v>
      </c>
      <c r="C154" s="60">
        <v>190.56127154676298</v>
      </c>
      <c r="D154" s="60">
        <v>227.30148470097888</v>
      </c>
      <c r="E154" s="60">
        <v>316.33171076762653</v>
      </c>
      <c r="F154" s="60">
        <v>348.0411063530079</v>
      </c>
      <c r="G154" s="60">
        <v>367.85947859387124</v>
      </c>
      <c r="H154" s="60">
        <v>387.98274886920944</v>
      </c>
      <c r="I154" s="60">
        <v>403.6849976446627</v>
      </c>
      <c r="J154" s="60">
        <v>412.8319386789073</v>
      </c>
      <c r="K154" s="60">
        <v>427.3145953164613</v>
      </c>
      <c r="L154" s="60">
        <v>437.98602652308</v>
      </c>
      <c r="M154" s="60">
        <v>452.468683160634</v>
      </c>
      <c r="N154" s="60">
        <v>465.8841966775261</v>
      </c>
      <c r="O154" s="60">
        <v>474.1164436083463</v>
      </c>
      <c r="P154" s="60">
        <v>488.9039982803751</v>
      </c>
      <c r="Q154" s="60">
        <v>498.6607353835694</v>
      </c>
      <c r="R154" s="60">
        <v>504.60624705582836</v>
      </c>
      <c r="S154" s="60">
        <v>529.6587022218429</v>
      </c>
      <c r="T154" s="60">
        <v>536.0234486915047</v>
      </c>
      <c r="U154" s="60">
        <v>541.9308481094544</v>
      </c>
      <c r="V154" s="60">
        <v>552.78013650285</v>
      </c>
      <c r="W154" s="60">
        <v>558.3064133777061</v>
      </c>
      <c r="X154" s="60">
        <v>570.5912633500875</v>
      </c>
      <c r="Y154" s="60">
        <f>6997.74/12</f>
        <v>583.145</v>
      </c>
      <c r="Z154" s="60">
        <f>7102.71/12</f>
        <v>591.8925</v>
      </c>
      <c r="AA154" s="60">
        <f>7223.45/12</f>
        <v>601.9541666666667</v>
      </c>
      <c r="AB154" s="60">
        <f>7367.91/12</f>
        <v>613.9925</v>
      </c>
      <c r="AC154" s="60">
        <f>7500.53/12</f>
        <v>625.0441666666667</v>
      </c>
      <c r="AD154" s="60">
        <f>7635.53/12</f>
        <v>636.2941666666667</v>
      </c>
      <c r="AE154" s="60">
        <f>7719.52/12</f>
        <v>643.2933333333334</v>
      </c>
      <c r="AF154" s="60">
        <f>7781.27/12</f>
        <v>648.4391666666667</v>
      </c>
      <c r="AG154" s="60">
        <f>8309.27/12</f>
        <v>692.4391666666667</v>
      </c>
      <c r="AH154" s="47"/>
      <c r="AI154" s="47"/>
      <c r="AJ154" s="47"/>
      <c r="AK154" s="47"/>
      <c r="AL154" s="47"/>
      <c r="AM154" s="47"/>
      <c r="AN154" s="47"/>
      <c r="AO154" s="47"/>
    </row>
    <row r="155" spans="1:41" ht="11.25">
      <c r="A155" s="47"/>
      <c r="B155" s="73" t="s">
        <v>10</v>
      </c>
      <c r="C155" s="62">
        <v>370.9592752776986</v>
      </c>
      <c r="D155" s="62">
        <v>431.9388821726628</v>
      </c>
      <c r="E155" s="62">
        <v>564.0613637784185</v>
      </c>
      <c r="F155" s="62">
        <v>622.5001537194257</v>
      </c>
      <c r="G155" s="62">
        <v>652.7358754715121</v>
      </c>
      <c r="H155" s="62">
        <v>684.3690465482748</v>
      </c>
      <c r="I155" s="62">
        <v>710.6665020217281</v>
      </c>
      <c r="J155" s="62">
        <v>719.9404839036705</v>
      </c>
      <c r="K155" s="62">
        <v>746.110898529426</v>
      </c>
      <c r="L155" s="62">
        <v>765.5481482271958</v>
      </c>
      <c r="M155" s="62">
        <v>791.4644811575556</v>
      </c>
      <c r="N155" s="62">
        <v>815.3481605247498</v>
      </c>
      <c r="O155" s="62">
        <v>830.0848988576995</v>
      </c>
      <c r="P155" s="62">
        <v>856.255313483455</v>
      </c>
      <c r="Q155" s="62">
        <v>873.4058279226637</v>
      </c>
      <c r="R155" s="62">
        <v>883.8994019425054</v>
      </c>
      <c r="S155" s="62">
        <v>927.7539025678005</v>
      </c>
      <c r="T155" s="62">
        <v>938.9080889956709</v>
      </c>
      <c r="U155" s="62">
        <v>949.2492139982753</v>
      </c>
      <c r="V155" s="62">
        <v>968.2418207291026</v>
      </c>
      <c r="W155" s="62">
        <v>977.9223333236782</v>
      </c>
      <c r="X155" s="62">
        <v>999.4303488389229</v>
      </c>
      <c r="Y155" s="62">
        <f>12257.01/12</f>
        <v>1021.4175</v>
      </c>
      <c r="Z155" s="62">
        <f>12440.87/12</f>
        <v>1036.7391666666667</v>
      </c>
      <c r="AA155" s="62">
        <f>12652.36/12</f>
        <v>1054.3633333333335</v>
      </c>
      <c r="AB155" s="62">
        <f>12905.4/12</f>
        <v>1075.45</v>
      </c>
      <c r="AC155" s="62">
        <f>13137.69/12</f>
        <v>1094.8075000000001</v>
      </c>
      <c r="AD155" s="62">
        <f>13374.16/12</f>
        <v>1114.5133333333333</v>
      </c>
      <c r="AE155" s="62">
        <f>13521.27/12</f>
        <v>1126.7725</v>
      </c>
      <c r="AF155" s="62">
        <f>13629.44/12</f>
        <v>1135.7866666666666</v>
      </c>
      <c r="AG155" s="62">
        <f>13765.73/12</f>
        <v>1147.1441666666667</v>
      </c>
      <c r="AH155" s="47"/>
      <c r="AI155" s="47"/>
      <c r="AJ155" s="47"/>
      <c r="AK155" s="47"/>
      <c r="AL155" s="47"/>
      <c r="AM155" s="47"/>
      <c r="AN155" s="47"/>
      <c r="AO155" s="47"/>
    </row>
    <row r="156" spans="1:41" ht="11.25">
      <c r="A156" s="47"/>
      <c r="B156" s="53" t="s">
        <v>32</v>
      </c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47"/>
      <c r="AI156" s="47"/>
      <c r="AJ156" s="47"/>
      <c r="AK156" s="47"/>
      <c r="AL156" s="47"/>
      <c r="AM156" s="47"/>
      <c r="AN156" s="47"/>
      <c r="AO156" s="47"/>
    </row>
    <row r="157" spans="1:41" ht="11.25">
      <c r="A157" s="47"/>
      <c r="B157" s="72" t="s">
        <v>11</v>
      </c>
      <c r="C157" s="60">
        <v>190.56127154676298</v>
      </c>
      <c r="D157" s="60">
        <v>227.30148470097888</v>
      </c>
      <c r="E157" s="60">
        <v>316.33171076762653</v>
      </c>
      <c r="F157" s="60">
        <v>348.0411063530079</v>
      </c>
      <c r="G157" s="60">
        <v>367.85947859387124</v>
      </c>
      <c r="H157" s="60">
        <v>387.98274886920944</v>
      </c>
      <c r="I157" s="60">
        <v>403.6849976446627</v>
      </c>
      <c r="J157" s="60">
        <v>412.8319386789073</v>
      </c>
      <c r="K157" s="60">
        <v>427.3145953164613</v>
      </c>
      <c r="L157" s="60">
        <v>437.98602652308</v>
      </c>
      <c r="M157" s="60">
        <v>452.468683160634</v>
      </c>
      <c r="N157" s="60">
        <v>465.8841966775261</v>
      </c>
      <c r="O157" s="60">
        <v>474.1164436083463</v>
      </c>
      <c r="P157" s="60">
        <v>488.9039982803751</v>
      </c>
      <c r="Q157" s="60">
        <v>498.6607353835694</v>
      </c>
      <c r="R157" s="60">
        <v>504.60624705582836</v>
      </c>
      <c r="S157" s="60">
        <v>529.6587022218429</v>
      </c>
      <c r="T157" s="60">
        <v>536.0234486915047</v>
      </c>
      <c r="U157" s="60">
        <v>541.9308481094544</v>
      </c>
      <c r="V157" s="60">
        <v>552.78013650285</v>
      </c>
      <c r="W157" s="60">
        <v>558.3064133777061</v>
      </c>
      <c r="X157" s="60">
        <v>570.5912633500875</v>
      </c>
      <c r="Y157" s="60">
        <v>583.145</v>
      </c>
      <c r="Z157" s="60">
        <v>591.8925</v>
      </c>
      <c r="AA157" s="60">
        <v>601.9541666666667</v>
      </c>
      <c r="AB157" s="60">
        <v>613.9925</v>
      </c>
      <c r="AC157" s="60">
        <v>625.0441666666667</v>
      </c>
      <c r="AD157" s="60">
        <v>636.2941666666667</v>
      </c>
      <c r="AE157" s="60">
        <v>643.2933333333334</v>
      </c>
      <c r="AF157" s="60">
        <v>648.4391666666667</v>
      </c>
      <c r="AG157" s="60">
        <f>7859.08/12</f>
        <v>654.9233333333333</v>
      </c>
      <c r="AH157" s="47"/>
      <c r="AI157" s="47"/>
      <c r="AJ157" s="47"/>
      <c r="AK157" s="47"/>
      <c r="AL157" s="47"/>
      <c r="AM157" s="47"/>
      <c r="AN157" s="47"/>
      <c r="AO157" s="47"/>
    </row>
    <row r="158" spans="1:41" ht="11.25">
      <c r="A158" s="47"/>
      <c r="B158" s="72" t="s">
        <v>43</v>
      </c>
      <c r="C158" s="60">
        <v>370.9592752776986</v>
      </c>
      <c r="D158" s="60">
        <v>431.9388821726628</v>
      </c>
      <c r="E158" s="60">
        <v>564.0613637784185</v>
      </c>
      <c r="F158" s="60">
        <v>622.5001537194257</v>
      </c>
      <c r="G158" s="60">
        <v>652.7358754715121</v>
      </c>
      <c r="H158" s="60">
        <v>684.3690465482748</v>
      </c>
      <c r="I158" s="60">
        <v>710.6665020217281</v>
      </c>
      <c r="J158" s="60">
        <v>719.9404839036705</v>
      </c>
      <c r="K158" s="60">
        <v>746.110898529426</v>
      </c>
      <c r="L158" s="60">
        <v>765.5481482271958</v>
      </c>
      <c r="M158" s="60">
        <v>791.4644811575556</v>
      </c>
      <c r="N158" s="60">
        <v>815.3481605247498</v>
      </c>
      <c r="O158" s="60">
        <v>830.0848988576995</v>
      </c>
      <c r="P158" s="60">
        <v>856.255313483455</v>
      </c>
      <c r="Q158" s="60">
        <v>873.4058279226637</v>
      </c>
      <c r="R158" s="60">
        <v>883.8994019425054</v>
      </c>
      <c r="S158" s="60">
        <v>927.7539025678005</v>
      </c>
      <c r="T158" s="60">
        <v>938.9080889956709</v>
      </c>
      <c r="U158" s="60">
        <v>949.2492139982753</v>
      </c>
      <c r="V158" s="60">
        <v>968.2418207291026</v>
      </c>
      <c r="W158" s="60">
        <v>977.9223333236782</v>
      </c>
      <c r="X158" s="60">
        <v>999.4303488389229</v>
      </c>
      <c r="Y158" s="60">
        <v>1021.4175</v>
      </c>
      <c r="Z158" s="60">
        <v>1036.7391666666667</v>
      </c>
      <c r="AA158" s="60">
        <v>1054.3633333333335</v>
      </c>
      <c r="AB158" s="60">
        <v>1075.45</v>
      </c>
      <c r="AC158" s="60">
        <v>1094.8075</v>
      </c>
      <c r="AD158" s="60">
        <v>1114.5133333333333</v>
      </c>
      <c r="AE158" s="60">
        <v>1126.7725</v>
      </c>
      <c r="AF158" s="60">
        <v>1135.7866666666666</v>
      </c>
      <c r="AG158" s="60">
        <f>13765.73/12</f>
        <v>1147.1441666666667</v>
      </c>
      <c r="AH158" s="47"/>
      <c r="AI158" s="47"/>
      <c r="AJ158" s="47"/>
      <c r="AK158" s="47"/>
      <c r="AL158" s="47"/>
      <c r="AM158" s="47"/>
      <c r="AN158" s="47"/>
      <c r="AO158" s="47"/>
    </row>
    <row r="159" spans="1:41" ht="11.25">
      <c r="A159" s="47"/>
      <c r="B159" s="63" t="s">
        <v>18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47"/>
      <c r="AI159" s="47"/>
      <c r="AJ159" s="47"/>
      <c r="AK159" s="47"/>
      <c r="AL159" s="47"/>
      <c r="AM159" s="47"/>
      <c r="AN159" s="47"/>
      <c r="AO159" s="47"/>
    </row>
    <row r="160" spans="1:41" ht="11.25">
      <c r="A160" s="47"/>
      <c r="B160" s="74"/>
      <c r="C160" s="75"/>
      <c r="D160" s="75"/>
      <c r="E160" s="75"/>
      <c r="F160" s="75"/>
      <c r="G160" s="75"/>
      <c r="H160" s="75"/>
      <c r="I160" s="75"/>
      <c r="J160" s="75"/>
      <c r="K160" s="75"/>
      <c r="L160" s="75">
        <v>488.9802227889938</v>
      </c>
      <c r="M160" s="75">
        <v>505.5590534135622</v>
      </c>
      <c r="N160" s="75">
        <v>520.8039551373032</v>
      </c>
      <c r="O160" s="75">
        <v>530.3320187146413</v>
      </c>
      <c r="P160" s="75">
        <v>546.9108493392098</v>
      </c>
      <c r="Q160" s="75">
        <v>557.7728418173753</v>
      </c>
      <c r="R160" s="75">
        <v>564.442486321512</v>
      </c>
      <c r="S160" s="75">
        <v>578.7345816875192</v>
      </c>
      <c r="T160" s="75">
        <v>585.5947874632026</v>
      </c>
      <c r="U160" s="75">
        <v>592.0738706957926</v>
      </c>
      <c r="V160" s="75">
        <v>599.1246377430228</v>
      </c>
      <c r="W160" s="75">
        <v>602.173618087771</v>
      </c>
      <c r="X160" s="75">
        <v>615.5129070960444</v>
      </c>
      <c r="Y160" s="62">
        <f>1887.15/3</f>
        <v>629.0500000000001</v>
      </c>
      <c r="Z160" s="62">
        <f>1915.42/3</f>
        <v>638.4733333333334</v>
      </c>
      <c r="AA160" s="62">
        <f>1947.97/3</f>
        <v>649.3233333333334</v>
      </c>
      <c r="AB160" s="62">
        <f>1986.9/3</f>
        <v>662.3000000000001</v>
      </c>
      <c r="AC160" s="62">
        <f>2022.63/3</f>
        <v>674.21</v>
      </c>
      <c r="AD160" s="62">
        <f>2059.01/3</f>
        <v>686.3366666666667</v>
      </c>
      <c r="AE160" s="62">
        <f>2081.62/3</f>
        <v>693.8733333333333</v>
      </c>
      <c r="AF160" s="62">
        <f>2098.27/3</f>
        <v>699.4233333333333</v>
      </c>
      <c r="AG160" s="62">
        <f>2119.23/3</f>
        <v>706.41</v>
      </c>
      <c r="AH160" s="47"/>
      <c r="AI160" s="47"/>
      <c r="AJ160" s="47"/>
      <c r="AK160" s="47"/>
      <c r="AL160" s="47"/>
      <c r="AM160" s="47"/>
      <c r="AN160" s="47"/>
      <c r="AO160" s="47"/>
    </row>
    <row r="161" spans="1:41" ht="11.25">
      <c r="A161" s="47"/>
      <c r="B161" s="47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9"/>
      <c r="W161" s="49"/>
      <c r="X161" s="49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</row>
    <row r="162" spans="1:41" ht="11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</row>
    <row r="163" spans="1:41" ht="11.25">
      <c r="A163" s="47"/>
      <c r="B163" s="190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9"/>
      <c r="W163" s="49"/>
      <c r="X163" s="49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</row>
    <row r="164" spans="1:41" ht="11.25">
      <c r="A164" s="47"/>
      <c r="B164" s="190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9"/>
      <c r="W164" s="49"/>
      <c r="X164" s="49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</row>
    <row r="165" spans="1:41" ht="11.25">
      <c r="A165" s="47"/>
      <c r="B165" s="47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9"/>
      <c r="W165" s="49"/>
      <c r="X165" s="49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</row>
    <row r="166" spans="1:41" ht="11.25">
      <c r="A166" s="47"/>
      <c r="B166" s="47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9"/>
      <c r="W166" s="49"/>
      <c r="X166" s="49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</row>
    <row r="167" spans="1:41" ht="11.25">
      <c r="A167" s="47"/>
      <c r="B167" s="47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9"/>
      <c r="W167" s="49"/>
      <c r="X167" s="49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</row>
    <row r="168" spans="1:41" ht="11.25">
      <c r="A168" s="47"/>
      <c r="B168" s="47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9"/>
      <c r="W168" s="49"/>
      <c r="X168" s="49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</row>
    <row r="169" spans="1:41" ht="11.25">
      <c r="A169" s="47"/>
      <c r="B169" s="47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9"/>
      <c r="W169" s="49"/>
      <c r="X169" s="49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</row>
    <row r="170" spans="1:41" ht="11.25">
      <c r="A170" s="47"/>
      <c r="B170" s="47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9"/>
      <c r="W170" s="49"/>
      <c r="X170" s="49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</row>
    <row r="171" spans="1:41" ht="11.25">
      <c r="A171" s="47"/>
      <c r="B171" s="47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9"/>
      <c r="W171" s="49"/>
      <c r="X171" s="49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</row>
    <row r="172" spans="1:41" ht="11.25">
      <c r="A172" s="47"/>
      <c r="B172" s="47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9"/>
      <c r="W172" s="49"/>
      <c r="X172" s="49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</row>
    <row r="173" spans="1:41" ht="11.25">
      <c r="A173" s="47"/>
      <c r="B173" s="47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9"/>
      <c r="W173" s="49"/>
      <c r="X173" s="49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</row>
    <row r="174" spans="1:41" ht="11.25">
      <c r="A174" s="47"/>
      <c r="B174" s="47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9"/>
      <c r="W174" s="49"/>
      <c r="X174" s="49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</row>
    <row r="175" spans="1:41" ht="11.25">
      <c r="A175" s="47"/>
      <c r="B175" s="47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9"/>
      <c r="W175" s="49"/>
      <c r="X175" s="49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</row>
    <row r="176" spans="1:41" ht="11.25">
      <c r="A176" s="47"/>
      <c r="B176" s="47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9"/>
      <c r="W176" s="49"/>
      <c r="X176" s="49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</row>
    <row r="177" spans="1:41" ht="11.25">
      <c r="A177" s="47"/>
      <c r="B177" s="47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9"/>
      <c r="W177" s="49"/>
      <c r="X177" s="49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</row>
    <row r="178" spans="1:41" ht="11.25">
      <c r="A178" s="47"/>
      <c r="B178" s="47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9"/>
      <c r="W178" s="49"/>
      <c r="X178" s="49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</row>
    <row r="179" spans="1:41" ht="11.25">
      <c r="A179" s="47"/>
      <c r="B179" s="47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9"/>
      <c r="W179" s="49"/>
      <c r="X179" s="49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</row>
    <row r="180" spans="1:41" ht="11.25">
      <c r="A180" s="47"/>
      <c r="B180" s="47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9"/>
      <c r="W180" s="49"/>
      <c r="X180" s="49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</row>
    <row r="181" spans="1:41" ht="11.25">
      <c r="A181" s="47"/>
      <c r="B181" s="47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9"/>
      <c r="W181" s="49"/>
      <c r="X181" s="49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</row>
    <row r="182" spans="1:41" ht="11.25">
      <c r="A182" s="47"/>
      <c r="B182" s="47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9"/>
      <c r="W182" s="49"/>
      <c r="X182" s="49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</row>
    <row r="183" spans="1:41" ht="11.25">
      <c r="A183" s="47"/>
      <c r="B183" s="47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9"/>
      <c r="W183" s="49"/>
      <c r="X183" s="49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</row>
    <row r="184" spans="1:41" ht="11.25">
      <c r="A184" s="47"/>
      <c r="B184" s="47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9"/>
      <c r="W184" s="49"/>
      <c r="X184" s="49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</row>
    <row r="185" spans="1:41" ht="11.25">
      <c r="A185" s="47"/>
      <c r="B185" s="47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9"/>
      <c r="W185" s="49"/>
      <c r="X185" s="49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</row>
    <row r="186" spans="1:41" ht="11.25">
      <c r="A186" s="47"/>
      <c r="B186" s="47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9"/>
      <c r="W186" s="49"/>
      <c r="X186" s="49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</row>
    <row r="187" spans="1:41" ht="11.25">
      <c r="A187" s="47"/>
      <c r="B187" s="47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9"/>
      <c r="W187" s="49"/>
      <c r="X187" s="49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</row>
    <row r="188" spans="1:41" ht="11.25">
      <c r="A188" s="47"/>
      <c r="B188" s="47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9"/>
      <c r="W188" s="49"/>
      <c r="X188" s="49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</row>
    <row r="189" spans="1:41" ht="11.25">
      <c r="A189" s="47"/>
      <c r="B189" s="47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9"/>
      <c r="W189" s="49"/>
      <c r="X189" s="49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</row>
    <row r="190" spans="1:41" ht="11.25">
      <c r="A190" s="47"/>
      <c r="B190" s="47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9"/>
      <c r="W190" s="49"/>
      <c r="X190" s="49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</row>
    <row r="191" spans="1:41" ht="11.25">
      <c r="A191" s="47"/>
      <c r="B191" s="47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9"/>
      <c r="W191" s="49"/>
      <c r="X191" s="49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</row>
    <row r="192" spans="1:41" ht="11.25">
      <c r="A192" s="47"/>
      <c r="B192" s="47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9"/>
      <c r="W192" s="49"/>
      <c r="X192" s="49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</row>
    <row r="193" spans="1:41" ht="11.25">
      <c r="A193" s="47"/>
      <c r="B193" s="47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9"/>
      <c r="W193" s="49"/>
      <c r="X193" s="49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</row>
    <row r="194" spans="1:41" ht="11.25">
      <c r="A194" s="47"/>
      <c r="B194" s="47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9"/>
      <c r="W194" s="49"/>
      <c r="X194" s="49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</row>
    <row r="195" spans="1:41" ht="11.25">
      <c r="A195" s="47"/>
      <c r="B195" s="47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9"/>
      <c r="W195" s="49"/>
      <c r="X195" s="49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</row>
    <row r="196" spans="1:41" ht="11.25">
      <c r="A196" s="47"/>
      <c r="B196" s="47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9"/>
      <c r="W196" s="49"/>
      <c r="X196" s="49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</row>
    <row r="197" spans="1:41" ht="11.25">
      <c r="A197" s="47"/>
      <c r="B197" s="47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9"/>
      <c r="W197" s="49"/>
      <c r="X197" s="49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</row>
    <row r="198" spans="1:41" ht="11.25">
      <c r="A198" s="47"/>
      <c r="B198" s="47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9"/>
      <c r="W198" s="49"/>
      <c r="X198" s="49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</row>
    <row r="199" spans="1:41" ht="11.25">
      <c r="A199" s="47"/>
      <c r="B199" s="47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9"/>
      <c r="W199" s="49"/>
      <c r="X199" s="49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</row>
    <row r="200" spans="1:41" ht="11.25">
      <c r="A200" s="47"/>
      <c r="B200" s="47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9"/>
      <c r="W200" s="49"/>
      <c r="X200" s="49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</row>
    <row r="201" spans="1:41" ht="11.25">
      <c r="A201" s="47"/>
      <c r="B201" s="47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9"/>
      <c r="W201" s="49"/>
      <c r="X201" s="49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</row>
    <row r="202" spans="1:41" ht="11.25">
      <c r="A202" s="47"/>
      <c r="B202" s="47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9"/>
      <c r="W202" s="49"/>
      <c r="X202" s="49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</row>
    <row r="203" spans="1:41" ht="11.25">
      <c r="A203" s="47"/>
      <c r="B203" s="47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9"/>
      <c r="W203" s="49"/>
      <c r="X203" s="49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</row>
    <row r="204" spans="1:41" ht="11.25">
      <c r="A204" s="47"/>
      <c r="B204" s="47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9"/>
      <c r="W204" s="49"/>
      <c r="X204" s="49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</row>
    <row r="205" spans="1:41" ht="11.25">
      <c r="A205" s="47"/>
      <c r="B205" s="47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9"/>
      <c r="W205" s="49"/>
      <c r="X205" s="49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</row>
    <row r="206" spans="1:41" ht="11.25">
      <c r="A206" s="47"/>
      <c r="B206" s="47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9"/>
      <c r="W206" s="49"/>
      <c r="X206" s="49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</row>
    <row r="207" spans="1:41" ht="11.25">
      <c r="A207" s="47"/>
      <c r="B207" s="47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9"/>
      <c r="W207" s="49"/>
      <c r="X207" s="49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</row>
    <row r="208" spans="1:41" ht="11.25">
      <c r="A208" s="47"/>
      <c r="B208" s="47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9"/>
      <c r="W208" s="49"/>
      <c r="X208" s="49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</row>
    <row r="209" spans="1:41" ht="11.25">
      <c r="A209" s="47"/>
      <c r="B209" s="47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9"/>
      <c r="W209" s="49"/>
      <c r="X209" s="49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</row>
    <row r="210" spans="1:41" ht="11.25">
      <c r="A210" s="47"/>
      <c r="B210" s="47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9"/>
      <c r="W210" s="49"/>
      <c r="X210" s="49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</row>
    <row r="211" spans="1:41" ht="11.25">
      <c r="A211" s="47"/>
      <c r="B211" s="47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9"/>
      <c r="W211" s="49"/>
      <c r="X211" s="49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</row>
    <row r="212" spans="1:41" ht="11.25">
      <c r="A212" s="47"/>
      <c r="B212" s="47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9"/>
      <c r="W212" s="49"/>
      <c r="X212" s="49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</row>
    <row r="213" spans="1:41" ht="11.25">
      <c r="A213" s="47"/>
      <c r="B213" s="47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9"/>
      <c r="W213" s="49"/>
      <c r="X213" s="49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</row>
    <row r="214" spans="1:41" ht="11.25">
      <c r="A214" s="47"/>
      <c r="B214" s="47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9"/>
      <c r="W214" s="49"/>
      <c r="X214" s="49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</row>
    <row r="215" spans="1:41" ht="11.25">
      <c r="A215" s="47"/>
      <c r="B215" s="47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9"/>
      <c r="W215" s="49"/>
      <c r="X215" s="49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</row>
    <row r="216" spans="1:41" ht="11.25">
      <c r="A216" s="47"/>
      <c r="B216" s="47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9"/>
      <c r="W216" s="49"/>
      <c r="X216" s="49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</row>
    <row r="217" spans="1:41" ht="11.25">
      <c r="A217" s="47"/>
      <c r="B217" s="47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9"/>
      <c r="W217" s="49"/>
      <c r="X217" s="49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</row>
    <row r="218" spans="1:41" ht="11.25">
      <c r="A218" s="47"/>
      <c r="B218" s="47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9"/>
      <c r="W218" s="49"/>
      <c r="X218" s="49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</row>
    <row r="219" spans="1:41" ht="11.25">
      <c r="A219" s="47"/>
      <c r="B219" s="47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9"/>
      <c r="W219" s="49"/>
      <c r="X219" s="49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</row>
    <row r="220" spans="1:41" ht="11.25">
      <c r="A220" s="47"/>
      <c r="B220" s="47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9"/>
      <c r="W220" s="49"/>
      <c r="X220" s="49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</row>
    <row r="221" spans="1:41" ht="11.25">
      <c r="A221" s="47"/>
      <c r="B221" s="47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9"/>
      <c r="W221" s="49"/>
      <c r="X221" s="49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</row>
    <row r="222" spans="1:41" ht="11.25">
      <c r="A222" s="47"/>
      <c r="B222" s="47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9"/>
      <c r="W222" s="49"/>
      <c r="X222" s="49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</row>
    <row r="223" spans="1:41" ht="11.25">
      <c r="A223" s="47"/>
      <c r="B223" s="47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9"/>
      <c r="W223" s="49"/>
      <c r="X223" s="49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</row>
    <row r="224" spans="1:41" ht="11.25">
      <c r="A224" s="47"/>
      <c r="B224" s="47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9"/>
      <c r="W224" s="49"/>
      <c r="X224" s="49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</row>
    <row r="225" spans="1:41" ht="11.25">
      <c r="A225" s="47"/>
      <c r="B225" s="47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9"/>
      <c r="W225" s="49"/>
      <c r="X225" s="49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</row>
    <row r="226" spans="1:41" ht="11.25">
      <c r="A226" s="47"/>
      <c r="B226" s="47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9"/>
      <c r="W226" s="49"/>
      <c r="X226" s="49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</row>
    <row r="227" spans="1:41" ht="11.25">
      <c r="A227" s="47"/>
      <c r="B227" s="47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9"/>
      <c r="W227" s="49"/>
      <c r="X227" s="49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</row>
    <row r="228" spans="1:41" ht="11.25">
      <c r="A228" s="47"/>
      <c r="B228" s="47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9"/>
      <c r="W228" s="49"/>
      <c r="X228" s="49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</row>
    <row r="229" spans="1:41" ht="11.25">
      <c r="A229" s="47"/>
      <c r="B229" s="47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9"/>
      <c r="W229" s="49"/>
      <c r="X229" s="49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</row>
    <row r="230" spans="1:41" ht="11.25">
      <c r="A230" s="47"/>
      <c r="B230" s="47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9"/>
      <c r="W230" s="49"/>
      <c r="X230" s="49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</row>
    <row r="231" spans="1:41" ht="11.25">
      <c r="A231" s="47"/>
      <c r="B231" s="47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9"/>
      <c r="W231" s="49"/>
      <c r="X231" s="49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</row>
    <row r="232" spans="1:41" ht="11.25">
      <c r="A232" s="47"/>
      <c r="B232" s="47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9"/>
      <c r="W232" s="49"/>
      <c r="X232" s="49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</row>
    <row r="233" spans="1:41" ht="11.25">
      <c r="A233" s="47"/>
      <c r="B233" s="47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9"/>
      <c r="W233" s="49"/>
      <c r="X233" s="49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</row>
    <row r="234" spans="1:41" ht="11.25">
      <c r="A234" s="47"/>
      <c r="B234" s="47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9"/>
      <c r="W234" s="49"/>
      <c r="X234" s="49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</row>
    <row r="235" spans="1:41" ht="11.25">
      <c r="A235" s="47"/>
      <c r="B235" s="47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9"/>
      <c r="W235" s="49"/>
      <c r="X235" s="49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</row>
    <row r="236" spans="1:41" ht="11.25">
      <c r="A236" s="47"/>
      <c r="B236" s="47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9"/>
      <c r="W236" s="49"/>
      <c r="X236" s="49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</row>
    <row r="237" spans="1:41" ht="11.25">
      <c r="A237" s="47"/>
      <c r="B237" s="47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9"/>
      <c r="W237" s="49"/>
      <c r="X237" s="49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</row>
    <row r="238" spans="1:41" ht="11.25">
      <c r="A238" s="47"/>
      <c r="B238" s="47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9"/>
      <c r="W238" s="49"/>
      <c r="X238" s="49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</row>
    <row r="239" spans="1:41" ht="11.25">
      <c r="A239" s="47"/>
      <c r="B239" s="47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9"/>
      <c r="W239" s="49"/>
      <c r="X239" s="49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</row>
    <row r="240" spans="1:41" ht="11.25">
      <c r="A240" s="47"/>
      <c r="B240" s="47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9"/>
      <c r="W240" s="49"/>
      <c r="X240" s="49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</row>
    <row r="241" spans="1:41" ht="11.25">
      <c r="A241" s="47"/>
      <c r="B241" s="47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9"/>
      <c r="W241" s="49"/>
      <c r="X241" s="49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</row>
    <row r="242" spans="1:41" ht="11.25">
      <c r="A242" s="47"/>
      <c r="B242" s="47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9"/>
      <c r="W242" s="49"/>
      <c r="X242" s="49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</row>
    <row r="243" spans="1:41" ht="11.25">
      <c r="A243" s="47"/>
      <c r="B243" s="47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9"/>
      <c r="W243" s="49"/>
      <c r="X243" s="49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</row>
    <row r="244" spans="1:41" ht="11.25">
      <c r="A244" s="47"/>
      <c r="B244" s="47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9"/>
      <c r="W244" s="49"/>
      <c r="X244" s="49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</row>
    <row r="245" spans="1:41" ht="11.25">
      <c r="A245" s="47"/>
      <c r="B245" s="47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9"/>
      <c r="W245" s="49"/>
      <c r="X245" s="49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</row>
    <row r="246" spans="1:41" ht="11.25">
      <c r="A246" s="47"/>
      <c r="B246" s="47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9"/>
      <c r="W246" s="49"/>
      <c r="X246" s="49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</row>
    <row r="247" spans="1:41" ht="11.25">
      <c r="A247" s="47"/>
      <c r="B247" s="47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9"/>
      <c r="W247" s="49"/>
      <c r="X247" s="49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</row>
    <row r="248" spans="1:41" ht="11.25">
      <c r="A248" s="47"/>
      <c r="B248" s="47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9"/>
      <c r="W248" s="49"/>
      <c r="X248" s="49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</row>
    <row r="249" spans="1:41" ht="11.25">
      <c r="A249" s="47"/>
      <c r="B249" s="47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9"/>
      <c r="W249" s="49"/>
      <c r="X249" s="49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</row>
    <row r="250" spans="1:41" ht="11.25">
      <c r="A250" s="47"/>
      <c r="B250" s="47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9"/>
      <c r="W250" s="49"/>
      <c r="X250" s="49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</row>
    <row r="251" spans="1:41" ht="11.25">
      <c r="A251" s="47"/>
      <c r="B251" s="47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9"/>
      <c r="W251" s="49"/>
      <c r="X251" s="49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</row>
    <row r="252" spans="1:41" ht="11.25">
      <c r="A252" s="47"/>
      <c r="B252" s="47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9"/>
      <c r="W252" s="49"/>
      <c r="X252" s="49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</row>
    <row r="253" spans="1:41" ht="11.25">
      <c r="A253" s="47"/>
      <c r="B253" s="47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9"/>
      <c r="W253" s="49"/>
      <c r="X253" s="49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</row>
    <row r="254" spans="1:41" ht="11.25">
      <c r="A254" s="47"/>
      <c r="B254" s="47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9"/>
      <c r="W254" s="49"/>
      <c r="X254" s="49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</row>
    <row r="255" spans="1:41" ht="11.25">
      <c r="A255" s="47"/>
      <c r="B255" s="47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9"/>
      <c r="W255" s="49"/>
      <c r="X255" s="49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</row>
    <row r="256" spans="1:41" ht="11.25">
      <c r="A256" s="47"/>
      <c r="B256" s="47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9"/>
      <c r="W256" s="49"/>
      <c r="X256" s="49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</row>
    <row r="257" spans="1:41" ht="11.25">
      <c r="A257" s="47"/>
      <c r="B257" s="47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9"/>
      <c r="W257" s="49"/>
      <c r="X257" s="49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</row>
    <row r="258" spans="1:41" ht="11.25">
      <c r="A258" s="47"/>
      <c r="B258" s="47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9"/>
      <c r="W258" s="49"/>
      <c r="X258" s="49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</row>
    <row r="259" spans="1:41" ht="11.25">
      <c r="A259" s="47"/>
      <c r="B259" s="47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9"/>
      <c r="W259" s="49"/>
      <c r="X259" s="49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</row>
    <row r="260" spans="1:41" ht="11.25">
      <c r="A260" s="47"/>
      <c r="B260" s="47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9"/>
      <c r="W260" s="49"/>
      <c r="X260" s="49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</row>
    <row r="261" spans="1:41" ht="11.25">
      <c r="A261" s="47"/>
      <c r="B261" s="47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9"/>
      <c r="W261" s="49"/>
      <c r="X261" s="49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</row>
    <row r="262" spans="1:41" ht="11.25">
      <c r="A262" s="47"/>
      <c r="B262" s="47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9"/>
      <c r="W262" s="49"/>
      <c r="X262" s="49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</row>
    <row r="263" spans="1:41" ht="11.25">
      <c r="A263" s="47"/>
      <c r="B263" s="47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9"/>
      <c r="W263" s="49"/>
      <c r="X263" s="49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</row>
    <row r="264" spans="1:41" ht="11.25">
      <c r="A264" s="47"/>
      <c r="B264" s="47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9"/>
      <c r="W264" s="49"/>
      <c r="X264" s="49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</row>
    <row r="265" spans="1:41" ht="11.25">
      <c r="A265" s="47"/>
      <c r="B265" s="47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9"/>
      <c r="W265" s="49"/>
      <c r="X265" s="49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</row>
    <row r="266" spans="1:41" ht="11.25">
      <c r="A266" s="47"/>
      <c r="B266" s="47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9"/>
      <c r="W266" s="49"/>
      <c r="X266" s="49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</row>
    <row r="267" spans="1:41" ht="11.25">
      <c r="A267" s="47"/>
      <c r="B267" s="47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9"/>
      <c r="W267" s="49"/>
      <c r="X267" s="49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</row>
  </sheetData>
  <mergeCells count="5">
    <mergeCell ref="AG147:AG148"/>
    <mergeCell ref="B163:B164"/>
    <mergeCell ref="AE147:AE148"/>
    <mergeCell ref="AD147:AD148"/>
    <mergeCell ref="AF147:AF14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4"/>
  <legacyDrawing r:id="rId3"/>
  <oleObjects>
    <oleObject progId="Word.Document.8" shapeId="199509997" r:id="rId1"/>
    <oleObject progId="Word.Document.8" shapeId="199509998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7109375" style="125" customWidth="1"/>
    <col min="2" max="2" width="34.28125" style="125" customWidth="1"/>
    <col min="3" max="9" width="8.8515625" style="149" customWidth="1"/>
    <col min="10" max="10" width="10.00390625" style="149" customWidth="1"/>
    <col min="11" max="11" width="8.8515625" style="125" customWidth="1"/>
    <col min="12" max="12" width="10.57421875" style="125" customWidth="1"/>
    <col min="13" max="16384" width="11.421875" style="125" customWidth="1"/>
  </cols>
  <sheetData>
    <row r="2" spans="2:10" s="121" customFormat="1" ht="12.75">
      <c r="B2" s="119" t="s">
        <v>81</v>
      </c>
      <c r="C2" s="120"/>
      <c r="D2" s="120"/>
      <c r="E2" s="120"/>
      <c r="F2" s="120"/>
      <c r="G2" s="120"/>
      <c r="H2" s="120"/>
      <c r="I2" s="120"/>
      <c r="J2" s="120"/>
    </row>
    <row r="5" spans="2:13" ht="12.75" customHeight="1">
      <c r="B5" s="122"/>
      <c r="C5" s="123">
        <v>1999</v>
      </c>
      <c r="D5" s="123">
        <v>2000</v>
      </c>
      <c r="E5" s="123">
        <v>2001</v>
      </c>
      <c r="F5" s="123">
        <v>2002</v>
      </c>
      <c r="G5" s="123">
        <v>2003</v>
      </c>
      <c r="H5" s="123">
        <v>2004</v>
      </c>
      <c r="I5" s="123">
        <v>2005</v>
      </c>
      <c r="J5" s="123" t="s">
        <v>82</v>
      </c>
      <c r="K5" s="124">
        <v>2007</v>
      </c>
      <c r="L5" s="124">
        <v>2008</v>
      </c>
      <c r="M5" s="124">
        <v>2009</v>
      </c>
    </row>
    <row r="6" spans="2:13" ht="15.75" customHeight="1">
      <c r="B6" s="126" t="s">
        <v>83</v>
      </c>
      <c r="C6" s="127">
        <v>1145023</v>
      </c>
      <c r="D6" s="127">
        <v>1096851</v>
      </c>
      <c r="E6" s="128">
        <v>1073487</v>
      </c>
      <c r="F6" s="128">
        <v>1090348</v>
      </c>
      <c r="G6" s="129">
        <v>1144217</v>
      </c>
      <c r="H6" s="130">
        <v>1238460</v>
      </c>
      <c r="I6" s="130">
        <v>1289540</v>
      </c>
      <c r="J6" s="130">
        <v>1278753</v>
      </c>
      <c r="K6" s="131">
        <v>1172113</v>
      </c>
      <c r="L6" s="131">
        <v>1141925</v>
      </c>
      <c r="M6" s="131">
        <v>139394</v>
      </c>
    </row>
    <row r="7" spans="2:13" ht="15.75" customHeight="1">
      <c r="B7" s="126" t="s">
        <v>84</v>
      </c>
      <c r="C7" s="132">
        <v>168184</v>
      </c>
      <c r="D7" s="132">
        <v>170213</v>
      </c>
      <c r="E7" s="132">
        <v>176654</v>
      </c>
      <c r="F7" s="132">
        <v>180904</v>
      </c>
      <c r="G7" s="132">
        <v>188857</v>
      </c>
      <c r="H7" s="132">
        <v>196617</v>
      </c>
      <c r="I7" s="132">
        <v>206125</v>
      </c>
      <c r="J7" s="133">
        <v>217452</v>
      </c>
      <c r="K7" s="131">
        <v>205380</v>
      </c>
      <c r="L7" s="131">
        <v>200364</v>
      </c>
      <c r="M7" s="131">
        <v>29763</v>
      </c>
    </row>
    <row r="8" spans="2:13" ht="18" customHeight="1">
      <c r="B8" s="126" t="s">
        <v>85</v>
      </c>
      <c r="C8" s="132">
        <v>693828</v>
      </c>
      <c r="D8" s="132">
        <v>710902</v>
      </c>
      <c r="E8" s="132">
        <v>733099</v>
      </c>
      <c r="F8" s="132">
        <v>751128</v>
      </c>
      <c r="G8" s="132">
        <v>766435</v>
      </c>
      <c r="H8" s="132">
        <v>786121</v>
      </c>
      <c r="I8" s="132">
        <v>800959</v>
      </c>
      <c r="J8" s="133">
        <v>803963</v>
      </c>
      <c r="K8" s="131">
        <v>813150</v>
      </c>
      <c r="L8" s="131">
        <v>848806</v>
      </c>
      <c r="M8" s="131">
        <v>883337</v>
      </c>
    </row>
    <row r="9" spans="2:13" ht="22.5" customHeight="1">
      <c r="B9" s="126" t="s">
        <v>86</v>
      </c>
      <c r="C9" s="127">
        <v>100231</v>
      </c>
      <c r="D9" s="127">
        <v>104400</v>
      </c>
      <c r="E9" s="127">
        <v>105000</v>
      </c>
      <c r="F9" s="127">
        <v>105400</v>
      </c>
      <c r="G9" s="127">
        <v>111200</v>
      </c>
      <c r="H9" s="127">
        <v>111500</v>
      </c>
      <c r="I9" s="127">
        <v>112623</v>
      </c>
      <c r="J9" s="134">
        <v>101548</v>
      </c>
      <c r="K9" s="131">
        <v>101029</v>
      </c>
      <c r="L9" s="131">
        <v>97000</v>
      </c>
      <c r="M9" s="131"/>
    </row>
    <row r="10" spans="2:13" ht="18.75" customHeight="1">
      <c r="B10" s="126" t="s">
        <v>87</v>
      </c>
      <c r="C10" s="127">
        <v>491092</v>
      </c>
      <c r="D10" s="127">
        <v>446987</v>
      </c>
      <c r="E10" s="127">
        <v>413603</v>
      </c>
      <c r="F10" s="127">
        <v>394702</v>
      </c>
      <c r="G10" s="127">
        <v>373115</v>
      </c>
      <c r="H10" s="127">
        <v>369900</v>
      </c>
      <c r="I10" s="135">
        <v>401582</v>
      </c>
      <c r="J10" s="136">
        <v>393175</v>
      </c>
      <c r="K10" s="131">
        <v>348886</v>
      </c>
      <c r="L10" s="131">
        <v>323994</v>
      </c>
      <c r="M10" s="131">
        <v>346150</v>
      </c>
    </row>
    <row r="11" spans="2:13" ht="21.75" customHeight="1">
      <c r="B11" s="126" t="s">
        <v>88</v>
      </c>
      <c r="C11" s="127">
        <v>27038</v>
      </c>
      <c r="D11" s="127">
        <v>32249</v>
      </c>
      <c r="E11" s="127">
        <v>36998</v>
      </c>
      <c r="F11" s="127">
        <v>43940</v>
      </c>
      <c r="G11" s="127">
        <v>47614</v>
      </c>
      <c r="H11" s="127">
        <v>48101</v>
      </c>
      <c r="I11" s="135">
        <v>34556</v>
      </c>
      <c r="J11" s="136">
        <v>23472</v>
      </c>
      <c r="K11" s="131">
        <v>22692</v>
      </c>
      <c r="L11" s="131">
        <v>25147</v>
      </c>
      <c r="M11" s="131">
        <v>34810</v>
      </c>
    </row>
    <row r="12" spans="2:13" ht="33.75">
      <c r="B12" s="126" t="s">
        <v>89</v>
      </c>
      <c r="C12" s="132">
        <v>807831</v>
      </c>
      <c r="D12" s="132">
        <v>765907</v>
      </c>
      <c r="E12" s="132">
        <v>723089</v>
      </c>
      <c r="F12" s="132">
        <v>668036</v>
      </c>
      <c r="G12" s="132">
        <v>634163</v>
      </c>
      <c r="H12" s="132">
        <v>621648</v>
      </c>
      <c r="I12" s="132">
        <v>609385</v>
      </c>
      <c r="J12" s="133">
        <v>598541</v>
      </c>
      <c r="K12" s="137" t="s">
        <v>90</v>
      </c>
      <c r="L12" s="131">
        <v>575157</v>
      </c>
      <c r="M12" s="131"/>
    </row>
    <row r="13" spans="2:13" ht="18" customHeight="1">
      <c r="B13" s="126" t="s">
        <v>91</v>
      </c>
      <c r="C13" s="127">
        <v>19754</v>
      </c>
      <c r="D13" s="127">
        <v>14984</v>
      </c>
      <c r="E13" s="127">
        <v>14036</v>
      </c>
      <c r="F13" s="127">
        <v>13386</v>
      </c>
      <c r="G13" s="127">
        <v>12515</v>
      </c>
      <c r="H13" s="127">
        <v>11566</v>
      </c>
      <c r="I13" s="127">
        <v>6757</v>
      </c>
      <c r="J13" s="134">
        <v>6205</v>
      </c>
      <c r="K13" s="131">
        <v>5310</v>
      </c>
      <c r="L13" s="131">
        <v>5087</v>
      </c>
      <c r="M13" s="131"/>
    </row>
    <row r="14" spans="2:13" ht="22.5" customHeight="1">
      <c r="B14" s="126" t="s">
        <v>92</v>
      </c>
      <c r="C14" s="127">
        <v>0</v>
      </c>
      <c r="D14" s="127">
        <v>0</v>
      </c>
      <c r="E14" s="127">
        <v>0</v>
      </c>
      <c r="F14" s="127">
        <v>2763</v>
      </c>
      <c r="G14" s="127">
        <v>27121</v>
      </c>
      <c r="H14" s="127">
        <v>32376</v>
      </c>
      <c r="I14" s="135">
        <v>41509</v>
      </c>
      <c r="J14" s="136">
        <v>59965</v>
      </c>
      <c r="K14" s="131">
        <v>68384</v>
      </c>
      <c r="L14" s="131">
        <v>67330</v>
      </c>
      <c r="M14" s="131">
        <v>59685</v>
      </c>
    </row>
    <row r="15" spans="2:13" ht="17.25" customHeight="1">
      <c r="B15" s="126" t="s">
        <v>93</v>
      </c>
      <c r="C15" s="127">
        <v>0</v>
      </c>
      <c r="D15" s="127">
        <v>0</v>
      </c>
      <c r="E15" s="127">
        <v>4633</v>
      </c>
      <c r="F15" s="127">
        <v>8175</v>
      </c>
      <c r="G15" s="127">
        <v>8479</v>
      </c>
      <c r="H15" s="127">
        <v>9124</v>
      </c>
      <c r="I15" s="127">
        <v>9963</v>
      </c>
      <c r="J15" s="134">
        <v>10991</v>
      </c>
      <c r="K15" s="131">
        <v>12033</v>
      </c>
      <c r="L15" s="131">
        <v>12708</v>
      </c>
      <c r="M15" s="131">
        <v>12764</v>
      </c>
    </row>
    <row r="16" spans="2:13" ht="17.25" customHeight="1">
      <c r="B16" s="126" t="s">
        <v>94</v>
      </c>
      <c r="C16" s="127"/>
      <c r="D16" s="127"/>
      <c r="E16" s="127"/>
      <c r="F16" s="127"/>
      <c r="G16" s="127"/>
      <c r="H16" s="127"/>
      <c r="I16" s="127"/>
      <c r="J16" s="134"/>
      <c r="K16" s="131"/>
      <c r="L16" s="131"/>
      <c r="M16" s="131">
        <v>1313920</v>
      </c>
    </row>
    <row r="17" spans="2:13" ht="19.5" customHeight="1">
      <c r="B17" s="126" t="s">
        <v>95</v>
      </c>
      <c r="C17" s="138">
        <v>3452981</v>
      </c>
      <c r="D17" s="138">
        <v>3342493</v>
      </c>
      <c r="E17" s="138">
        <v>3280599</v>
      </c>
      <c r="F17" s="138">
        <v>3258782</v>
      </c>
      <c r="G17" s="138">
        <v>3313716</v>
      </c>
      <c r="H17" s="138">
        <v>3425413</v>
      </c>
      <c r="I17" s="138">
        <v>3512999</v>
      </c>
      <c r="J17" s="138">
        <v>3494065</v>
      </c>
      <c r="K17" s="138">
        <v>3334527</v>
      </c>
      <c r="L17" s="139">
        <v>3297518</v>
      </c>
      <c r="M17" s="139"/>
    </row>
    <row r="18" spans="3:10" ht="11.25">
      <c r="C18" s="140"/>
      <c r="D18" s="140"/>
      <c r="E18" s="50"/>
      <c r="F18" s="50"/>
      <c r="G18" s="50"/>
      <c r="H18" s="141"/>
      <c r="I18" s="141"/>
      <c r="J18" s="141"/>
    </row>
    <row r="19" spans="2:10" s="47" customFormat="1" ht="11.25">
      <c r="B19" s="142" t="s">
        <v>96</v>
      </c>
      <c r="C19" s="143"/>
      <c r="D19" s="143"/>
      <c r="E19" s="143"/>
      <c r="F19" s="144"/>
      <c r="G19" s="144"/>
      <c r="H19" s="144"/>
      <c r="I19" s="144"/>
      <c r="J19" s="144"/>
    </row>
    <row r="20" spans="2:10" s="47" customFormat="1" ht="11.25">
      <c r="B20" s="142" t="s">
        <v>97</v>
      </c>
      <c r="C20" s="143"/>
      <c r="D20" s="143"/>
      <c r="E20" s="143"/>
      <c r="F20" s="144"/>
      <c r="G20" s="144"/>
      <c r="H20" s="144"/>
      <c r="I20" s="144"/>
      <c r="J20" s="144"/>
    </row>
    <row r="21" spans="2:10" s="47" customFormat="1" ht="11.25">
      <c r="B21" s="142" t="s">
        <v>98</v>
      </c>
      <c r="C21" s="143"/>
      <c r="D21" s="143"/>
      <c r="E21" s="143"/>
      <c r="F21" s="144"/>
      <c r="G21" s="144"/>
      <c r="H21" s="144"/>
      <c r="I21" s="144"/>
      <c r="J21" s="144"/>
    </row>
    <row r="22" spans="2:10" s="47" customFormat="1" ht="11.25">
      <c r="B22" s="142" t="s">
        <v>99</v>
      </c>
      <c r="C22" s="143"/>
      <c r="D22" s="143"/>
      <c r="E22" s="143"/>
      <c r="F22" s="144"/>
      <c r="G22" s="144"/>
      <c r="H22" s="144"/>
      <c r="I22" s="144"/>
      <c r="J22" s="144"/>
    </row>
    <row r="23" spans="2:10" s="47" customFormat="1" ht="11.25">
      <c r="B23" s="47" t="s">
        <v>100</v>
      </c>
      <c r="C23" s="145"/>
      <c r="D23" s="145"/>
      <c r="E23" s="145"/>
      <c r="F23" s="145"/>
      <c r="G23" s="145"/>
      <c r="H23" s="145"/>
      <c r="I23" s="145"/>
      <c r="J23" s="145"/>
    </row>
    <row r="24" spans="2:10" s="47" customFormat="1" ht="11.25">
      <c r="B24" s="47" t="s">
        <v>101</v>
      </c>
      <c r="C24" s="145"/>
      <c r="D24" s="145"/>
      <c r="E24" s="145"/>
      <c r="F24" s="145"/>
      <c r="G24" s="145"/>
      <c r="H24" s="145"/>
      <c r="I24" s="145"/>
      <c r="J24" s="145"/>
    </row>
    <row r="25" spans="2:10" s="47" customFormat="1" ht="11.25">
      <c r="B25" s="47" t="s">
        <v>102</v>
      </c>
      <c r="C25" s="145"/>
      <c r="D25" s="145"/>
      <c r="E25" s="145"/>
      <c r="F25" s="145"/>
      <c r="G25" s="145"/>
      <c r="H25" s="145"/>
      <c r="I25" s="145"/>
      <c r="J25" s="145"/>
    </row>
    <row r="26" spans="2:10" s="47" customFormat="1" ht="11.25">
      <c r="B26" s="146" t="s">
        <v>103</v>
      </c>
      <c r="C26" s="147"/>
      <c r="D26" s="147"/>
      <c r="E26" s="148"/>
      <c r="F26" s="147"/>
      <c r="G26" s="147"/>
      <c r="H26" s="147"/>
      <c r="I26" s="147"/>
      <c r="J26" s="147"/>
    </row>
    <row r="27" s="47" customFormat="1" ht="11.25">
      <c r="B27" s="146" t="s">
        <v>104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3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47" customWidth="1"/>
    <col min="2" max="2" width="31.57421875" style="47" customWidth="1"/>
    <col min="3" max="10" width="8.8515625" style="115" customWidth="1"/>
    <col min="11" max="19" width="8.8515625" style="47" customWidth="1"/>
    <col min="20" max="20" width="8.8515625" style="115" customWidth="1"/>
    <col min="21" max="21" width="10.421875" style="47" customWidth="1"/>
    <col min="22" max="16384" width="11.421875" style="47" customWidth="1"/>
  </cols>
  <sheetData>
    <row r="2" spans="2:20" s="151" customFormat="1" ht="12.75">
      <c r="B2" s="119" t="s">
        <v>105</v>
      </c>
      <c r="C2" s="150"/>
      <c r="D2" s="150"/>
      <c r="E2" s="150"/>
      <c r="F2" s="150"/>
      <c r="G2" s="150"/>
      <c r="H2" s="150"/>
      <c r="I2" s="150"/>
      <c r="J2" s="150"/>
      <c r="T2" s="150"/>
    </row>
    <row r="4" spans="2:20" s="125" customFormat="1" ht="11.25">
      <c r="B4" s="152"/>
      <c r="C4" s="149"/>
      <c r="D4" s="149"/>
      <c r="E4" s="149"/>
      <c r="F4" s="149"/>
      <c r="G4" s="149"/>
      <c r="H4" s="149"/>
      <c r="I4" s="149"/>
      <c r="J4" s="149"/>
      <c r="T4" s="149"/>
    </row>
    <row r="5" spans="2:19" ht="11.25">
      <c r="B5" s="125"/>
      <c r="C5" s="149"/>
      <c r="D5" s="149"/>
      <c r="E5" s="149"/>
      <c r="F5" s="149"/>
      <c r="G5" s="149"/>
      <c r="H5" s="149"/>
      <c r="I5" s="149"/>
      <c r="J5" s="149"/>
      <c r="K5" s="125"/>
      <c r="L5" s="125"/>
      <c r="M5" s="125"/>
      <c r="N5" s="125"/>
      <c r="O5" s="125"/>
      <c r="P5" s="125"/>
      <c r="Q5" s="125"/>
      <c r="R5" s="125"/>
      <c r="S5" s="125"/>
    </row>
    <row r="6" spans="2:22" ht="11.25">
      <c r="B6" s="153"/>
      <c r="C6" s="154">
        <v>1990</v>
      </c>
      <c r="D6" s="154">
        <v>1991</v>
      </c>
      <c r="E6" s="154">
        <v>1992</v>
      </c>
      <c r="F6" s="154">
        <v>1993</v>
      </c>
      <c r="G6" s="154">
        <v>1994</v>
      </c>
      <c r="H6" s="154">
        <v>1995</v>
      </c>
      <c r="I6" s="154">
        <v>1996</v>
      </c>
      <c r="J6" s="154">
        <v>1997</v>
      </c>
      <c r="K6" s="154">
        <v>1998</v>
      </c>
      <c r="L6" s="154">
        <v>1999</v>
      </c>
      <c r="M6" s="154">
        <v>2000</v>
      </c>
      <c r="N6" s="154">
        <v>2001</v>
      </c>
      <c r="O6" s="154">
        <v>2002</v>
      </c>
      <c r="P6" s="154">
        <v>2003</v>
      </c>
      <c r="Q6" s="154">
        <v>2004</v>
      </c>
      <c r="R6" s="154">
        <v>2005</v>
      </c>
      <c r="S6" s="123" t="s">
        <v>82</v>
      </c>
      <c r="T6" s="99">
        <v>2007</v>
      </c>
      <c r="U6" s="99">
        <v>2008</v>
      </c>
      <c r="V6" s="99">
        <v>2009</v>
      </c>
    </row>
    <row r="7" spans="2:22" ht="22.5" customHeight="1">
      <c r="B7" s="155" t="s">
        <v>83</v>
      </c>
      <c r="C7" s="156">
        <v>422101</v>
      </c>
      <c r="D7" s="156">
        <v>488422</v>
      </c>
      <c r="E7" s="156">
        <v>575034</v>
      </c>
      <c r="F7" s="156">
        <v>696589</v>
      </c>
      <c r="G7" s="156">
        <v>803303</v>
      </c>
      <c r="H7" s="156">
        <v>840839</v>
      </c>
      <c r="I7" s="156">
        <v>903100</v>
      </c>
      <c r="J7" s="156">
        <v>956596</v>
      </c>
      <c r="K7" s="156">
        <v>993286</v>
      </c>
      <c r="L7" s="156">
        <v>1017847</v>
      </c>
      <c r="M7" s="156">
        <v>965180</v>
      </c>
      <c r="N7" s="156">
        <v>938500</v>
      </c>
      <c r="O7" s="156">
        <v>950693</v>
      </c>
      <c r="P7" s="156">
        <v>998645</v>
      </c>
      <c r="Q7" s="156">
        <v>1083880</v>
      </c>
      <c r="R7" s="127">
        <v>1134485</v>
      </c>
      <c r="S7" s="127">
        <v>1124576</v>
      </c>
      <c r="T7" s="127">
        <v>1028050</v>
      </c>
      <c r="U7" s="132">
        <v>1005205</v>
      </c>
      <c r="V7" s="127">
        <v>2467</v>
      </c>
    </row>
    <row r="8" spans="2:22" ht="22.5" customHeight="1">
      <c r="B8" s="155" t="s">
        <v>84</v>
      </c>
      <c r="C8" s="156">
        <v>131000</v>
      </c>
      <c r="D8" s="156">
        <v>133000</v>
      </c>
      <c r="E8" s="156">
        <v>138000</v>
      </c>
      <c r="F8" s="156">
        <v>145000</v>
      </c>
      <c r="G8" s="156">
        <v>152000</v>
      </c>
      <c r="H8" s="156">
        <v>148000</v>
      </c>
      <c r="I8" s="156">
        <v>149100</v>
      </c>
      <c r="J8" s="156">
        <v>150890</v>
      </c>
      <c r="K8" s="156">
        <v>150223</v>
      </c>
      <c r="L8" s="156">
        <v>155164</v>
      </c>
      <c r="M8" s="156">
        <v>156759</v>
      </c>
      <c r="N8" s="156">
        <v>160705</v>
      </c>
      <c r="O8" s="156">
        <v>164063</v>
      </c>
      <c r="P8" s="156">
        <v>170044</v>
      </c>
      <c r="Q8" s="156">
        <v>175648</v>
      </c>
      <c r="R8" s="127">
        <v>182312</v>
      </c>
      <c r="S8" s="127">
        <v>191050</v>
      </c>
      <c r="T8" s="127">
        <v>177108</v>
      </c>
      <c r="U8" s="132">
        <v>171938</v>
      </c>
      <c r="V8" s="127">
        <v>192</v>
      </c>
    </row>
    <row r="9" spans="2:22" ht="22.5" customHeight="1">
      <c r="B9" s="155" t="s">
        <v>85</v>
      </c>
      <c r="C9" s="156">
        <v>519000</v>
      </c>
      <c r="D9" s="156">
        <v>533000</v>
      </c>
      <c r="E9" s="156">
        <v>549000</v>
      </c>
      <c r="F9" s="156">
        <v>563000</v>
      </c>
      <c r="G9" s="156">
        <v>576314</v>
      </c>
      <c r="H9" s="156">
        <v>593501</v>
      </c>
      <c r="I9" s="156">
        <v>609600</v>
      </c>
      <c r="J9" s="156">
        <v>627695</v>
      </c>
      <c r="K9" s="156">
        <v>647007</v>
      </c>
      <c r="L9" s="156">
        <v>670977</v>
      </c>
      <c r="M9" s="156">
        <v>687372</v>
      </c>
      <c r="N9" s="156">
        <v>709155</v>
      </c>
      <c r="O9" s="156">
        <v>726648</v>
      </c>
      <c r="P9" s="156">
        <v>741211</v>
      </c>
      <c r="Q9" s="156">
        <v>760078</v>
      </c>
      <c r="R9" s="127">
        <v>774210</v>
      </c>
      <c r="S9" s="127">
        <v>776803</v>
      </c>
      <c r="T9" s="127">
        <v>785783</v>
      </c>
      <c r="U9" s="132">
        <v>820332</v>
      </c>
      <c r="V9" s="127">
        <v>854155</v>
      </c>
    </row>
    <row r="10" spans="2:22" ht="24" customHeight="1">
      <c r="B10" s="155" t="s">
        <v>86</v>
      </c>
      <c r="C10" s="156">
        <v>131683</v>
      </c>
      <c r="D10" s="156">
        <v>121329</v>
      </c>
      <c r="E10" s="156">
        <v>112230</v>
      </c>
      <c r="F10" s="156">
        <v>109242</v>
      </c>
      <c r="G10" s="156">
        <v>107960</v>
      </c>
      <c r="H10" s="156">
        <v>103446</v>
      </c>
      <c r="I10" s="156">
        <v>101157</v>
      </c>
      <c r="J10" s="156">
        <v>100713</v>
      </c>
      <c r="K10" s="156">
        <v>100666</v>
      </c>
      <c r="L10" s="156">
        <v>100231</v>
      </c>
      <c r="M10" s="156">
        <v>104400</v>
      </c>
      <c r="N10" s="156">
        <v>105000</v>
      </c>
      <c r="O10" s="156">
        <v>105400</v>
      </c>
      <c r="P10" s="156">
        <v>111200</v>
      </c>
      <c r="Q10" s="156">
        <v>111500</v>
      </c>
      <c r="R10" s="127">
        <v>112623</v>
      </c>
      <c r="S10" s="127">
        <v>101548</v>
      </c>
      <c r="T10" s="127">
        <v>101029</v>
      </c>
      <c r="U10" s="132">
        <v>97000</v>
      </c>
      <c r="V10" s="127"/>
    </row>
    <row r="11" spans="2:22" ht="24.75" customHeight="1">
      <c r="B11" s="155" t="s">
        <v>87</v>
      </c>
      <c r="C11" s="156">
        <v>336097</v>
      </c>
      <c r="D11" s="156">
        <v>350353</v>
      </c>
      <c r="E11" s="156">
        <v>342074</v>
      </c>
      <c r="F11" s="156">
        <v>395412</v>
      </c>
      <c r="G11" s="156">
        <v>454105</v>
      </c>
      <c r="H11" s="156">
        <v>485803</v>
      </c>
      <c r="I11" s="156">
        <v>512969</v>
      </c>
      <c r="J11" s="156">
        <v>480063</v>
      </c>
      <c r="K11" s="156">
        <v>482027</v>
      </c>
      <c r="L11" s="156">
        <v>470101</v>
      </c>
      <c r="M11" s="156">
        <v>425331</v>
      </c>
      <c r="N11" s="156">
        <v>391596</v>
      </c>
      <c r="O11" s="156">
        <v>371966</v>
      </c>
      <c r="P11" s="156">
        <v>349225</v>
      </c>
      <c r="Q11" s="156">
        <v>346048</v>
      </c>
      <c r="R11" s="127">
        <v>376052</v>
      </c>
      <c r="S11" s="127">
        <v>367839</v>
      </c>
      <c r="T11" s="127">
        <v>324498</v>
      </c>
      <c r="U11" s="132">
        <v>299755</v>
      </c>
      <c r="V11" s="127">
        <v>321000</v>
      </c>
    </row>
    <row r="12" spans="2:22" ht="25.5" customHeight="1">
      <c r="B12" s="126" t="s">
        <v>88</v>
      </c>
      <c r="C12" s="156">
        <v>123594</v>
      </c>
      <c r="D12" s="156">
        <v>111804</v>
      </c>
      <c r="E12" s="156">
        <v>29717</v>
      </c>
      <c r="F12" s="156">
        <v>21465</v>
      </c>
      <c r="G12" s="156">
        <v>19655</v>
      </c>
      <c r="H12" s="156">
        <v>17253</v>
      </c>
      <c r="I12" s="156">
        <v>15063</v>
      </c>
      <c r="J12" s="156">
        <v>16056</v>
      </c>
      <c r="K12" s="156">
        <v>21444</v>
      </c>
      <c r="L12" s="156">
        <v>26720</v>
      </c>
      <c r="M12" s="156">
        <v>31905</v>
      </c>
      <c r="N12" s="156">
        <v>36717</v>
      </c>
      <c r="O12" s="156">
        <v>43546</v>
      </c>
      <c r="P12" s="156">
        <v>47174</v>
      </c>
      <c r="Q12" s="156">
        <v>47361</v>
      </c>
      <c r="R12" s="127">
        <v>33377</v>
      </c>
      <c r="S12" s="127">
        <v>22789</v>
      </c>
      <c r="T12" s="127">
        <v>21871</v>
      </c>
      <c r="U12" s="132">
        <v>24023</v>
      </c>
      <c r="V12" s="127">
        <v>33300</v>
      </c>
    </row>
    <row r="13" spans="2:22" ht="43.5" customHeight="1">
      <c r="B13" s="155" t="s">
        <v>89</v>
      </c>
      <c r="C13" s="156">
        <v>1182900</v>
      </c>
      <c r="D13" s="156">
        <v>1131200</v>
      </c>
      <c r="E13" s="156">
        <v>1068500</v>
      </c>
      <c r="F13" s="156">
        <v>1058500</v>
      </c>
      <c r="G13" s="156">
        <v>965900</v>
      </c>
      <c r="H13" s="156">
        <v>908800</v>
      </c>
      <c r="I13" s="156">
        <v>861260</v>
      </c>
      <c r="J13" s="156">
        <v>805112</v>
      </c>
      <c r="K13" s="156">
        <v>760299</v>
      </c>
      <c r="L13" s="156">
        <v>727466</v>
      </c>
      <c r="M13" s="156">
        <v>686021</v>
      </c>
      <c r="N13" s="156">
        <v>644687</v>
      </c>
      <c r="O13" s="156">
        <v>590554</v>
      </c>
      <c r="P13" s="156">
        <v>557624</v>
      </c>
      <c r="Q13" s="156">
        <v>547517</v>
      </c>
      <c r="R13" s="127">
        <v>537435</v>
      </c>
      <c r="S13" s="127">
        <v>527940</v>
      </c>
      <c r="T13" s="127" t="s">
        <v>106</v>
      </c>
      <c r="U13" s="132">
        <v>507878</v>
      </c>
      <c r="V13" s="127"/>
    </row>
    <row r="14" spans="2:22" ht="19.5" customHeight="1">
      <c r="B14" s="155" t="s">
        <v>91</v>
      </c>
      <c r="C14" s="157">
        <v>16000</v>
      </c>
      <c r="D14" s="156">
        <v>15700</v>
      </c>
      <c r="E14" s="156">
        <v>15803</v>
      </c>
      <c r="F14" s="156">
        <v>15958</v>
      </c>
      <c r="G14" s="156">
        <v>16300</v>
      </c>
      <c r="H14" s="156">
        <v>16196</v>
      </c>
      <c r="I14" s="156">
        <v>17046</v>
      </c>
      <c r="J14" s="156">
        <v>18241</v>
      </c>
      <c r="K14" s="156">
        <v>20086</v>
      </c>
      <c r="L14" s="156">
        <v>19208</v>
      </c>
      <c r="M14" s="156">
        <v>14575</v>
      </c>
      <c r="N14" s="156">
        <v>13625</v>
      </c>
      <c r="O14" s="156">
        <v>13000</v>
      </c>
      <c r="P14" s="156">
        <v>12200</v>
      </c>
      <c r="Q14" s="156">
        <v>11300</v>
      </c>
      <c r="R14" s="127">
        <v>6596</v>
      </c>
      <c r="S14" s="127">
        <v>6024</v>
      </c>
      <c r="T14" s="127">
        <v>5230</v>
      </c>
      <c r="U14" s="132">
        <v>4949</v>
      </c>
      <c r="V14" s="127"/>
    </row>
    <row r="15" spans="2:22" ht="21.75" customHeight="1">
      <c r="B15" s="155" t="s">
        <v>92</v>
      </c>
      <c r="C15" s="158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6">
        <v>2763</v>
      </c>
      <c r="P15" s="156">
        <v>27121</v>
      </c>
      <c r="Q15" s="156">
        <v>32246</v>
      </c>
      <c r="R15" s="127">
        <v>41351</v>
      </c>
      <c r="S15" s="127">
        <v>59754</v>
      </c>
      <c r="T15" s="127">
        <v>68150</v>
      </c>
      <c r="U15" s="132">
        <v>67090</v>
      </c>
      <c r="V15" s="127">
        <v>59500</v>
      </c>
    </row>
    <row r="16" spans="2:22" ht="21.75" customHeight="1">
      <c r="B16" s="155" t="s">
        <v>107</v>
      </c>
      <c r="C16" s="158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6"/>
      <c r="P16" s="156"/>
      <c r="Q16" s="156"/>
      <c r="R16" s="127"/>
      <c r="S16" s="127"/>
      <c r="T16" s="127"/>
      <c r="U16" s="132"/>
      <c r="V16" s="127">
        <v>1313920</v>
      </c>
    </row>
    <row r="17" spans="2:22" ht="21" customHeight="1">
      <c r="B17" s="155" t="s">
        <v>95</v>
      </c>
      <c r="C17" s="160">
        <v>2862375</v>
      </c>
      <c r="D17" s="160">
        <v>2884808</v>
      </c>
      <c r="E17" s="160">
        <v>2830358</v>
      </c>
      <c r="F17" s="160">
        <v>3005166</v>
      </c>
      <c r="G17" s="160">
        <v>3095537</v>
      </c>
      <c r="H17" s="160">
        <v>3113838</v>
      </c>
      <c r="I17" s="160">
        <v>3169295</v>
      </c>
      <c r="J17" s="160">
        <v>3155366</v>
      </c>
      <c r="K17" s="160">
        <v>3175038</v>
      </c>
      <c r="L17" s="160">
        <v>3187714</v>
      </c>
      <c r="M17" s="160">
        <v>3071543</v>
      </c>
      <c r="N17" s="160">
        <v>2999985</v>
      </c>
      <c r="O17" s="160">
        <v>2968633</v>
      </c>
      <c r="P17" s="160">
        <v>3014444</v>
      </c>
      <c r="Q17" s="160">
        <v>3115578</v>
      </c>
      <c r="R17" s="160">
        <v>3198441</v>
      </c>
      <c r="S17" s="161">
        <v>3178323</v>
      </c>
      <c r="T17" s="161">
        <v>3028469</v>
      </c>
      <c r="U17" s="160">
        <v>2998170</v>
      </c>
      <c r="V17" s="127"/>
    </row>
    <row r="18" spans="3:19" ht="11.25">
      <c r="C18" s="162"/>
      <c r="D18" s="162"/>
      <c r="E18" s="162"/>
      <c r="F18" s="162"/>
      <c r="G18" s="162"/>
      <c r="H18" s="162"/>
      <c r="I18" s="162"/>
      <c r="J18" s="162"/>
      <c r="K18" s="163"/>
      <c r="L18" s="163"/>
      <c r="M18" s="163"/>
      <c r="N18" s="163"/>
      <c r="O18" s="163"/>
      <c r="P18" s="163"/>
      <c r="Q18" s="163"/>
      <c r="R18" s="163"/>
      <c r="S18" s="163"/>
    </row>
    <row r="19" spans="2:20" ht="11.25">
      <c r="B19" s="142" t="s">
        <v>96</v>
      </c>
      <c r="C19" s="143"/>
      <c r="D19" s="143"/>
      <c r="E19" s="143"/>
      <c r="F19" s="144"/>
      <c r="G19" s="144"/>
      <c r="H19" s="144"/>
      <c r="I19" s="144"/>
      <c r="J19" s="144"/>
      <c r="T19" s="47"/>
    </row>
    <row r="20" spans="2:20" ht="11.25">
      <c r="B20" s="142" t="s">
        <v>97</v>
      </c>
      <c r="C20" s="143"/>
      <c r="D20" s="143"/>
      <c r="E20" s="143"/>
      <c r="F20" s="144"/>
      <c r="G20" s="144"/>
      <c r="H20" s="144"/>
      <c r="I20" s="144"/>
      <c r="J20" s="144"/>
      <c r="T20" s="47"/>
    </row>
    <row r="21" spans="2:20" ht="11.25">
      <c r="B21" s="142" t="s">
        <v>98</v>
      </c>
      <c r="C21" s="143"/>
      <c r="D21" s="143"/>
      <c r="E21" s="143"/>
      <c r="F21" s="144"/>
      <c r="G21" s="144"/>
      <c r="H21" s="144"/>
      <c r="I21" s="144"/>
      <c r="J21" s="144"/>
      <c r="T21" s="47"/>
    </row>
    <row r="22" spans="2:20" ht="11.25">
      <c r="B22" s="142" t="s">
        <v>99</v>
      </c>
      <c r="C22" s="143"/>
      <c r="D22" s="143"/>
      <c r="E22" s="143"/>
      <c r="F22" s="144"/>
      <c r="G22" s="144"/>
      <c r="H22" s="144"/>
      <c r="I22" s="144"/>
      <c r="J22" s="144"/>
      <c r="T22" s="47"/>
    </row>
    <row r="23" spans="2:10" ht="11.25">
      <c r="B23" s="47" t="s">
        <v>100</v>
      </c>
      <c r="C23" s="145"/>
      <c r="D23" s="145"/>
      <c r="E23" s="145"/>
      <c r="F23" s="145"/>
      <c r="G23" s="145"/>
      <c r="H23" s="145"/>
      <c r="I23" s="145"/>
      <c r="J23" s="145"/>
    </row>
    <row r="24" spans="2:10" ht="11.25">
      <c r="B24" s="47" t="s">
        <v>101</v>
      </c>
      <c r="C24" s="145"/>
      <c r="D24" s="145"/>
      <c r="E24" s="145"/>
      <c r="F24" s="145"/>
      <c r="G24" s="145"/>
      <c r="H24" s="145"/>
      <c r="I24" s="145"/>
      <c r="J24" s="145"/>
    </row>
    <row r="25" spans="2:10" ht="11.25">
      <c r="B25" s="47" t="s">
        <v>102</v>
      </c>
      <c r="C25" s="145"/>
      <c r="D25" s="145"/>
      <c r="E25" s="145"/>
      <c r="F25" s="145"/>
      <c r="G25" s="145"/>
      <c r="H25" s="145"/>
      <c r="I25" s="145"/>
      <c r="J25" s="145"/>
    </row>
    <row r="26" spans="2:10" ht="11.25">
      <c r="B26" s="146" t="s">
        <v>108</v>
      </c>
      <c r="C26" s="147"/>
      <c r="D26" s="147"/>
      <c r="E26" s="148"/>
      <c r="F26" s="147"/>
      <c r="G26" s="147"/>
      <c r="H26" s="147"/>
      <c r="I26" s="147"/>
      <c r="J26" s="147"/>
    </row>
    <row r="27" spans="2:10" ht="11.25">
      <c r="B27" s="146" t="s">
        <v>109</v>
      </c>
      <c r="C27" s="47"/>
      <c r="D27" s="47"/>
      <c r="E27" s="47"/>
      <c r="F27" s="47"/>
      <c r="G27" s="47"/>
      <c r="H27" s="47"/>
      <c r="I27" s="47"/>
      <c r="J27" s="47"/>
    </row>
    <row r="28" spans="12:18" ht="11.25">
      <c r="L28" s="144"/>
      <c r="M28" s="144"/>
      <c r="N28" s="144"/>
      <c r="O28" s="144"/>
      <c r="P28" s="144"/>
      <c r="Q28" s="144"/>
      <c r="R28" s="144"/>
    </row>
    <row r="29" spans="12:18" ht="11.25">
      <c r="L29" s="144"/>
      <c r="M29" s="144"/>
      <c r="N29" s="144"/>
      <c r="O29" s="144"/>
      <c r="P29" s="144"/>
      <c r="Q29" s="144"/>
      <c r="R29" s="144"/>
    </row>
    <row r="30" spans="12:18" ht="11.25">
      <c r="L30" s="144"/>
      <c r="M30" s="144"/>
      <c r="N30" s="144"/>
      <c r="O30" s="144"/>
      <c r="P30" s="144"/>
      <c r="Q30" s="144"/>
      <c r="R30" s="144"/>
    </row>
    <row r="31" spans="12:18" ht="11.25">
      <c r="L31" s="145"/>
      <c r="M31" s="145"/>
      <c r="N31" s="145"/>
      <c r="O31" s="145"/>
      <c r="P31" s="145"/>
      <c r="Q31" s="145"/>
      <c r="R31" s="145"/>
    </row>
    <row r="32" spans="12:18" ht="11.25">
      <c r="L32" s="145"/>
      <c r="M32" s="145"/>
      <c r="N32" s="145"/>
      <c r="O32" s="145"/>
      <c r="P32" s="145"/>
      <c r="Q32" s="145"/>
      <c r="R32" s="145"/>
    </row>
    <row r="33" spans="12:18" ht="11.25">
      <c r="L33" s="145"/>
      <c r="M33" s="145"/>
      <c r="N33" s="145"/>
      <c r="O33" s="145"/>
      <c r="P33" s="145"/>
      <c r="Q33" s="145"/>
      <c r="R33" s="145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2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47" customWidth="1"/>
    <col min="2" max="2" width="11.421875" style="47" customWidth="1"/>
    <col min="3" max="3" width="9.8515625" style="47" customWidth="1"/>
    <col min="4" max="4" width="6.00390625" style="47" customWidth="1"/>
    <col min="5" max="5" width="10.28125" style="47" customWidth="1"/>
    <col min="6" max="6" width="5.7109375" style="47" customWidth="1"/>
    <col min="7" max="7" width="10.28125" style="47" customWidth="1"/>
    <col min="8" max="8" width="6.00390625" style="47" customWidth="1"/>
    <col min="9" max="9" width="9.57421875" style="47" customWidth="1"/>
    <col min="10" max="10" width="6.421875" style="47" customWidth="1"/>
    <col min="11" max="11" width="8.421875" style="47" customWidth="1"/>
    <col min="12" max="12" width="9.28125" style="47" customWidth="1"/>
    <col min="13" max="16384" width="11.421875" style="47" customWidth="1"/>
  </cols>
  <sheetData>
    <row r="1" ht="11.25">
      <c r="B1" s="88" t="s">
        <v>135</v>
      </c>
    </row>
    <row r="2" ht="11.25">
      <c r="B2" s="88"/>
    </row>
    <row r="4" spans="2:12" ht="24.75" customHeight="1">
      <c r="B4" s="194"/>
      <c r="C4" s="193" t="s">
        <v>136</v>
      </c>
      <c r="D4" s="193"/>
      <c r="E4" s="193" t="s">
        <v>137</v>
      </c>
      <c r="F4" s="193"/>
      <c r="G4" s="193" t="s">
        <v>138</v>
      </c>
      <c r="H4" s="193"/>
      <c r="I4" s="193" t="s">
        <v>139</v>
      </c>
      <c r="J4" s="193"/>
      <c r="K4" s="196" t="s">
        <v>140</v>
      </c>
      <c r="L4" s="196"/>
    </row>
    <row r="5" spans="2:12" ht="11.25">
      <c r="B5" s="195"/>
      <c r="C5" s="172" t="s">
        <v>141</v>
      </c>
      <c r="D5" s="172" t="s">
        <v>112</v>
      </c>
      <c r="E5" s="172" t="s">
        <v>141</v>
      </c>
      <c r="F5" s="172" t="s">
        <v>112</v>
      </c>
      <c r="G5" s="172" t="s">
        <v>141</v>
      </c>
      <c r="H5" s="172" t="s">
        <v>112</v>
      </c>
      <c r="I5" s="172" t="s">
        <v>141</v>
      </c>
      <c r="J5" s="172" t="s">
        <v>112</v>
      </c>
      <c r="K5" s="172" t="s">
        <v>141</v>
      </c>
      <c r="L5" s="172" t="s">
        <v>112</v>
      </c>
    </row>
    <row r="6" spans="2:12" ht="11.25">
      <c r="B6" s="173" t="s">
        <v>113</v>
      </c>
      <c r="C6" s="174">
        <v>640000</v>
      </c>
      <c r="D6" s="172">
        <v>48</v>
      </c>
      <c r="E6" s="174">
        <v>4000</v>
      </c>
      <c r="F6" s="172">
        <v>2</v>
      </c>
      <c r="G6" s="174">
        <v>175600</v>
      </c>
      <c r="H6" s="172">
        <v>54</v>
      </c>
      <c r="I6" s="174">
        <v>432900</v>
      </c>
      <c r="J6" s="172">
        <v>51</v>
      </c>
      <c r="K6" s="174">
        <v>246200</v>
      </c>
      <c r="L6" s="172">
        <v>43</v>
      </c>
    </row>
    <row r="7" spans="2:12" ht="11.25">
      <c r="B7" s="173" t="s">
        <v>122</v>
      </c>
      <c r="C7" s="174">
        <v>693200</v>
      </c>
      <c r="D7" s="172">
        <v>52</v>
      </c>
      <c r="E7" s="174">
        <v>196400</v>
      </c>
      <c r="F7" s="172">
        <v>98</v>
      </c>
      <c r="G7" s="174">
        <v>146700</v>
      </c>
      <c r="H7" s="172">
        <v>46</v>
      </c>
      <c r="I7" s="174">
        <v>415900</v>
      </c>
      <c r="J7" s="172">
        <v>49</v>
      </c>
      <c r="K7" s="174">
        <v>329000</v>
      </c>
      <c r="L7" s="172">
        <v>57</v>
      </c>
    </row>
    <row r="8" spans="2:12" ht="11.25">
      <c r="B8" s="173" t="s">
        <v>78</v>
      </c>
      <c r="C8" s="174">
        <v>1333200</v>
      </c>
      <c r="D8" s="172">
        <v>100</v>
      </c>
      <c r="E8" s="174">
        <v>200400</v>
      </c>
      <c r="F8" s="172">
        <v>100</v>
      </c>
      <c r="G8" s="174">
        <v>322300</v>
      </c>
      <c r="H8" s="172">
        <v>100</v>
      </c>
      <c r="I8" s="174">
        <v>848800</v>
      </c>
      <c r="J8" s="172">
        <v>100</v>
      </c>
      <c r="K8" s="174">
        <v>575200</v>
      </c>
      <c r="L8" s="172">
        <v>100</v>
      </c>
    </row>
    <row r="9" spans="2:12" ht="11.25">
      <c r="B9" s="175"/>
      <c r="C9" s="176"/>
      <c r="D9" s="70"/>
      <c r="E9" s="176"/>
      <c r="F9" s="70"/>
      <c r="G9" s="176"/>
      <c r="H9" s="70"/>
      <c r="I9" s="176"/>
      <c r="J9" s="70"/>
      <c r="K9" s="176"/>
      <c r="L9" s="70"/>
    </row>
    <row r="10" ht="11.25">
      <c r="B10" s="177" t="s">
        <v>145</v>
      </c>
    </row>
    <row r="11" ht="11.25">
      <c r="B11" s="178" t="s">
        <v>142</v>
      </c>
    </row>
    <row r="12" ht="11.25">
      <c r="B12" s="178" t="s">
        <v>143</v>
      </c>
    </row>
    <row r="13" ht="11.25">
      <c r="B13" s="177" t="s">
        <v>146</v>
      </c>
    </row>
    <row r="14" ht="11.25">
      <c r="B14" s="177" t="s">
        <v>147</v>
      </c>
    </row>
    <row r="19" ht="11.25">
      <c r="B19" s="88" t="s">
        <v>144</v>
      </c>
    </row>
    <row r="20" ht="11.25">
      <c r="B20" s="88"/>
    </row>
    <row r="22" spans="2:12" ht="11.25">
      <c r="B22" s="194"/>
      <c r="C22" s="193" t="s">
        <v>136</v>
      </c>
      <c r="D22" s="193"/>
      <c r="E22" s="193" t="s">
        <v>137</v>
      </c>
      <c r="F22" s="193"/>
      <c r="G22" s="193" t="s">
        <v>138</v>
      </c>
      <c r="H22" s="193"/>
      <c r="I22" s="193" t="s">
        <v>139</v>
      </c>
      <c r="J22" s="193"/>
      <c r="K22" s="193" t="s">
        <v>140</v>
      </c>
      <c r="L22" s="193"/>
    </row>
    <row r="23" spans="2:12" ht="11.25">
      <c r="B23" s="195"/>
      <c r="C23" s="172" t="s">
        <v>141</v>
      </c>
      <c r="D23" s="172" t="s">
        <v>112</v>
      </c>
      <c r="E23" s="172" t="s">
        <v>141</v>
      </c>
      <c r="F23" s="172" t="s">
        <v>112</v>
      </c>
      <c r="G23" s="172" t="s">
        <v>141</v>
      </c>
      <c r="H23" s="172" t="s">
        <v>112</v>
      </c>
      <c r="I23" s="172" t="s">
        <v>141</v>
      </c>
      <c r="J23" s="172" t="s">
        <v>112</v>
      </c>
      <c r="K23" s="172" t="s">
        <v>141</v>
      </c>
      <c r="L23" s="172" t="s">
        <v>112</v>
      </c>
    </row>
    <row r="24" spans="2:12" ht="11.25">
      <c r="B24" s="173" t="s">
        <v>113</v>
      </c>
      <c r="C24" s="174">
        <v>659200</v>
      </c>
      <c r="D24" s="172">
        <v>48</v>
      </c>
      <c r="E24" s="174">
        <v>3300</v>
      </c>
      <c r="F24" s="172">
        <v>2</v>
      </c>
      <c r="G24" s="174">
        <v>186500</v>
      </c>
      <c r="H24" s="172">
        <v>54</v>
      </c>
      <c r="I24" s="174">
        <v>412300</v>
      </c>
      <c r="J24" s="172">
        <v>51</v>
      </c>
      <c r="K24" s="174">
        <v>247000</v>
      </c>
      <c r="L24" s="172">
        <v>42</v>
      </c>
    </row>
    <row r="25" spans="2:12" ht="11.25">
      <c r="B25" s="173" t="s">
        <v>122</v>
      </c>
      <c r="C25" s="174">
        <v>710200</v>
      </c>
      <c r="D25" s="172">
        <v>52</v>
      </c>
      <c r="E25" s="174">
        <v>202100</v>
      </c>
      <c r="F25" s="172">
        <v>98</v>
      </c>
      <c r="G25" s="174">
        <v>161400</v>
      </c>
      <c r="H25" s="172">
        <v>46</v>
      </c>
      <c r="I25" s="174">
        <v>400900</v>
      </c>
      <c r="J25" s="172">
        <v>49</v>
      </c>
      <c r="K25" s="174">
        <v>339700</v>
      </c>
      <c r="L25" s="172">
        <v>58</v>
      </c>
    </row>
    <row r="26" spans="2:12" ht="11.25">
      <c r="B26" s="173" t="s">
        <v>78</v>
      </c>
      <c r="C26" s="174">
        <v>1369400</v>
      </c>
      <c r="D26" s="172">
        <v>100</v>
      </c>
      <c r="E26" s="174">
        <v>205400</v>
      </c>
      <c r="F26" s="172">
        <v>100</v>
      </c>
      <c r="G26" s="174">
        <v>347900</v>
      </c>
      <c r="H26" s="172">
        <v>100</v>
      </c>
      <c r="I26" s="174">
        <v>813200</v>
      </c>
      <c r="J26" s="172">
        <v>100</v>
      </c>
      <c r="K26" s="174">
        <v>586700</v>
      </c>
      <c r="L26" s="172">
        <v>100</v>
      </c>
    </row>
    <row r="27" spans="2:12" ht="11.25">
      <c r="B27" s="175"/>
      <c r="C27" s="176"/>
      <c r="D27" s="70"/>
      <c r="E27" s="176"/>
      <c r="F27" s="70"/>
      <c r="G27" s="176"/>
      <c r="H27" s="70"/>
      <c r="I27" s="176"/>
      <c r="J27" s="70"/>
      <c r="K27" s="176"/>
      <c r="L27" s="70"/>
    </row>
    <row r="28" ht="11.25">
      <c r="B28" s="177" t="s">
        <v>145</v>
      </c>
    </row>
    <row r="29" ht="11.25">
      <c r="B29" s="178" t="s">
        <v>142</v>
      </c>
    </row>
    <row r="30" ht="11.25">
      <c r="B30" s="178" t="s">
        <v>143</v>
      </c>
    </row>
    <row r="31" ht="11.25">
      <c r="B31" s="177" t="s">
        <v>146</v>
      </c>
    </row>
    <row r="32" ht="11.25">
      <c r="B32" s="177" t="s">
        <v>147</v>
      </c>
    </row>
  </sheetData>
  <mergeCells count="12">
    <mergeCell ref="B4:B5"/>
    <mergeCell ref="K4:L4"/>
    <mergeCell ref="C4:D4"/>
    <mergeCell ref="E4:F4"/>
    <mergeCell ref="G4:H4"/>
    <mergeCell ref="I4:J4"/>
    <mergeCell ref="I22:J22"/>
    <mergeCell ref="K22:L22"/>
    <mergeCell ref="B22:B23"/>
    <mergeCell ref="C22:D22"/>
    <mergeCell ref="E22:F22"/>
    <mergeCell ref="G22:H2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C11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47" customWidth="1"/>
    <col min="2" max="2" width="16.28125" style="47" customWidth="1"/>
    <col min="3" max="3" width="11.421875" style="115" customWidth="1"/>
    <col min="4" max="16384" width="11.421875" style="47" customWidth="1"/>
  </cols>
  <sheetData>
    <row r="1" ht="12.75">
      <c r="B1" s="76" t="s">
        <v>74</v>
      </c>
    </row>
    <row r="2" ht="12.75">
      <c r="B2" s="76"/>
    </row>
    <row r="4" spans="2:3" ht="11.25">
      <c r="B4" s="116"/>
      <c r="C4" s="99">
        <v>2009</v>
      </c>
    </row>
    <row r="5" spans="2:3" ht="11.25">
      <c r="B5" s="44" t="s">
        <v>75</v>
      </c>
      <c r="C5" s="117">
        <v>1131354</v>
      </c>
    </row>
    <row r="6" spans="2:3" ht="11.25">
      <c r="B6" s="44" t="s">
        <v>76</v>
      </c>
      <c r="C6" s="117">
        <v>182566</v>
      </c>
    </row>
    <row r="7" spans="2:3" ht="11.25">
      <c r="B7" s="44" t="s">
        <v>77</v>
      </c>
      <c r="C7" s="117">
        <v>416234</v>
      </c>
    </row>
    <row r="8" spans="2:3" ht="11.25">
      <c r="B8" s="44" t="s">
        <v>78</v>
      </c>
      <c r="C8" s="118">
        <f>SUM(C5:C7)</f>
        <v>1730154</v>
      </c>
    </row>
    <row r="10" ht="11.25">
      <c r="B10" s="7" t="s">
        <v>79</v>
      </c>
    </row>
    <row r="11" ht="11.25">
      <c r="B11" s="7" t="s">
        <v>80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E29"/>
  <sheetViews>
    <sheetView workbookViewId="0" topLeftCell="A1">
      <selection activeCell="B1" sqref="B1"/>
    </sheetView>
  </sheetViews>
  <sheetFormatPr defaultColWidth="11.421875" defaultRowHeight="12.75"/>
  <cols>
    <col min="1" max="1" width="3.7109375" style="80" customWidth="1"/>
    <col min="2" max="2" width="43.7109375" style="80" customWidth="1"/>
    <col min="3" max="16384" width="11.421875" style="80" customWidth="1"/>
  </cols>
  <sheetData>
    <row r="2" ht="12.75">
      <c r="B2" s="2" t="s">
        <v>110</v>
      </c>
    </row>
    <row r="5" spans="2:4" ht="12.75">
      <c r="B5" s="164"/>
      <c r="C5" s="92" t="s">
        <v>111</v>
      </c>
      <c r="D5" s="92" t="s">
        <v>112</v>
      </c>
    </row>
    <row r="6" spans="2:4" ht="12.75">
      <c r="B6" s="93" t="s">
        <v>113</v>
      </c>
      <c r="C6" s="165">
        <f>SUM(C7:C14)</f>
        <v>852589</v>
      </c>
      <c r="D6" s="166">
        <f>C6*100/$C$25</f>
        <v>42.43349213332829</v>
      </c>
    </row>
    <row r="7" spans="2:4" ht="12.75">
      <c r="B7" s="116" t="s">
        <v>114</v>
      </c>
      <c r="C7" s="167">
        <v>504819</v>
      </c>
      <c r="D7" s="94">
        <f aca="true" t="shared" si="0" ref="D7:D25">C7*100/$C$25</f>
        <v>25.124923105100645</v>
      </c>
    </row>
    <row r="8" spans="2:4" ht="12.75">
      <c r="B8" s="116" t="s">
        <v>115</v>
      </c>
      <c r="C8" s="167">
        <v>21368</v>
      </c>
      <c r="D8" s="94">
        <f t="shared" si="0"/>
        <v>1.0634888086815089</v>
      </c>
    </row>
    <row r="9" spans="2:4" ht="12.75">
      <c r="B9" s="116" t="s">
        <v>116</v>
      </c>
      <c r="C9" s="167">
        <v>14502</v>
      </c>
      <c r="D9" s="94">
        <f t="shared" si="0"/>
        <v>0.7217668805456402</v>
      </c>
    </row>
    <row r="10" spans="2:4" ht="12.75">
      <c r="B10" s="116" t="s">
        <v>117</v>
      </c>
      <c r="C10" s="167">
        <v>61759</v>
      </c>
      <c r="D10" s="94">
        <f t="shared" si="0"/>
        <v>3.0737553975740033</v>
      </c>
    </row>
    <row r="11" spans="2:4" ht="12.75">
      <c r="B11" s="116" t="s">
        <v>118</v>
      </c>
      <c r="C11" s="167">
        <v>80602</v>
      </c>
      <c r="D11" s="94">
        <f t="shared" si="0"/>
        <v>4.011574548733947</v>
      </c>
    </row>
    <row r="12" spans="2:4" ht="12.75">
      <c r="B12" s="116" t="s">
        <v>119</v>
      </c>
      <c r="C12" s="167">
        <v>82960</v>
      </c>
      <c r="D12" s="94">
        <f t="shared" si="0"/>
        <v>4.1289325893026</v>
      </c>
    </row>
    <row r="13" spans="2:4" ht="12.75">
      <c r="B13" s="116" t="s">
        <v>120</v>
      </c>
      <c r="C13" s="167">
        <v>49413</v>
      </c>
      <c r="D13" s="94">
        <f t="shared" si="0"/>
        <v>2.4592929849952916</v>
      </c>
    </row>
    <row r="14" spans="2:5" ht="12.75">
      <c r="B14" s="116" t="s">
        <v>121</v>
      </c>
      <c r="C14" s="167">
        <v>37166</v>
      </c>
      <c r="D14" s="94">
        <f t="shared" si="0"/>
        <v>1.8497578183946535</v>
      </c>
      <c r="E14" s="168"/>
    </row>
    <row r="15" spans="2:4" ht="12.75">
      <c r="B15" s="93" t="s">
        <v>122</v>
      </c>
      <c r="C15" s="165">
        <f>SUM(C16:C24)</f>
        <v>1156647</v>
      </c>
      <c r="D15" s="166">
        <f t="shared" si="0"/>
        <v>57.56650786667171</v>
      </c>
    </row>
    <row r="16" spans="2:4" ht="12.75">
      <c r="B16" s="116" t="s">
        <v>123</v>
      </c>
      <c r="C16" s="167">
        <v>306729</v>
      </c>
      <c r="D16" s="94">
        <f t="shared" si="0"/>
        <v>15.26595183442861</v>
      </c>
    </row>
    <row r="17" spans="2:4" ht="12.75">
      <c r="B17" s="116" t="s">
        <v>124</v>
      </c>
      <c r="C17" s="167">
        <v>280650</v>
      </c>
      <c r="D17" s="94">
        <f t="shared" si="0"/>
        <v>13.967995795416766</v>
      </c>
    </row>
    <row r="18" spans="2:4" ht="12.75">
      <c r="B18" s="116" t="s">
        <v>125</v>
      </c>
      <c r="C18" s="167">
        <v>159067</v>
      </c>
      <c r="D18" s="94">
        <f t="shared" si="0"/>
        <v>7.9167902625674635</v>
      </c>
    </row>
    <row r="19" spans="2:4" ht="12.75">
      <c r="B19" s="116" t="s">
        <v>126</v>
      </c>
      <c r="C19" s="167">
        <v>98301</v>
      </c>
      <c r="D19" s="94">
        <f t="shared" si="0"/>
        <v>4.892456635258377</v>
      </c>
    </row>
    <row r="20" spans="2:4" ht="12.75">
      <c r="B20" s="116" t="s">
        <v>127</v>
      </c>
      <c r="C20" s="167">
        <v>61759</v>
      </c>
      <c r="D20" s="94">
        <f t="shared" si="0"/>
        <v>3.0737553975740033</v>
      </c>
    </row>
    <row r="21" spans="2:4" ht="12.75">
      <c r="B21" s="116" t="s">
        <v>128</v>
      </c>
      <c r="C21" s="167">
        <v>80602</v>
      </c>
      <c r="D21" s="94">
        <f t="shared" si="0"/>
        <v>4.011574548733947</v>
      </c>
    </row>
    <row r="22" spans="2:4" ht="12.75">
      <c r="B22" s="116" t="s">
        <v>129</v>
      </c>
      <c r="C22" s="167">
        <v>82960</v>
      </c>
      <c r="D22" s="94">
        <f t="shared" si="0"/>
        <v>4.1289325893026</v>
      </c>
    </row>
    <row r="23" spans="2:4" ht="12.75">
      <c r="B23" s="116" t="s">
        <v>130</v>
      </c>
      <c r="C23" s="167">
        <v>49413</v>
      </c>
      <c r="D23" s="94">
        <f t="shared" si="0"/>
        <v>2.4592929849952916</v>
      </c>
    </row>
    <row r="24" spans="2:4" ht="12.75">
      <c r="B24" s="116" t="s">
        <v>131</v>
      </c>
      <c r="C24" s="167">
        <v>37166</v>
      </c>
      <c r="D24" s="94">
        <f t="shared" si="0"/>
        <v>1.8497578183946535</v>
      </c>
    </row>
    <row r="25" spans="2:4" ht="12.75">
      <c r="B25" s="93" t="s">
        <v>78</v>
      </c>
      <c r="C25" s="165">
        <f>C6+C15</f>
        <v>2009236</v>
      </c>
      <c r="D25" s="166">
        <f t="shared" si="0"/>
        <v>100</v>
      </c>
    </row>
    <row r="26" spans="2:4" ht="12.75">
      <c r="B26" s="7" t="s">
        <v>132</v>
      </c>
      <c r="C26" s="169"/>
      <c r="D26" s="170"/>
    </row>
    <row r="27" spans="2:4" ht="12.75">
      <c r="B27" s="171" t="s">
        <v>133</v>
      </c>
      <c r="C27" s="95"/>
      <c r="D27" s="95"/>
    </row>
    <row r="28" spans="2:4" ht="12.75">
      <c r="B28" s="171" t="s">
        <v>80</v>
      </c>
      <c r="C28" s="47"/>
      <c r="D28" s="47"/>
    </row>
    <row r="29" spans="2:4" ht="12.75">
      <c r="B29" s="7" t="s">
        <v>134</v>
      </c>
      <c r="C29" s="47"/>
      <c r="D29" s="4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piketty</cp:lastModifiedBy>
  <cp:lastPrinted>2010-10-08T14:04:45Z</cp:lastPrinted>
  <dcterms:created xsi:type="dcterms:W3CDTF">2005-09-13T08:23:15Z</dcterms:created>
  <dcterms:modified xsi:type="dcterms:W3CDTF">2010-10-08T14:04:54Z</dcterms:modified>
  <cp:category/>
  <cp:version/>
  <cp:contentType/>
  <cp:contentStatus/>
</cp:coreProperties>
</file>